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amoin.sharepoint.com/Library/Clients/Bergmann/NYSERDA/"/>
    </mc:Choice>
  </mc:AlternateContent>
  <xr:revisionPtr revIDLastSave="1129" documentId="8_{7DFA463A-F1E2-4A3C-BD2E-0C6265F39F49}" xr6:coauthVersionLast="47" xr6:coauthVersionMax="47" xr10:uidLastSave="{5F042BD0-901C-4EDF-B48E-C5D0990F4CA7}"/>
  <bookViews>
    <workbookView xWindow="28680" yWindow="-120" windowWidth="29040" windowHeight="15840" tabRatio="862" activeTab="1" xr2:uid="{BE19D1A2-E263-4C59-AF46-F116D8D5CF51}"/>
  </bookViews>
  <sheets>
    <sheet name="Introduction" sheetId="5" r:id="rId1"/>
    <sheet name="Calculations" sheetId="1" r:id="rId2"/>
    <sheet name="Data &amp; Sources" sheetId="4" r:id="rId3"/>
    <sheet name="Lookups" sheetId="3" r:id="rId4"/>
  </sheets>
  <definedNames>
    <definedName name="_ftn1" localSheetId="0">Introduction!$A$29</definedName>
    <definedName name="_ftnref1" localSheetId="0">Introduction!$A$26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I6" i="1"/>
  <c r="C14" i="1"/>
  <c r="C17" i="1"/>
  <c r="H6" i="1" l="1"/>
  <c r="H16" i="3"/>
  <c r="C19" i="1" s="1"/>
  <c r="H15" i="3"/>
  <c r="H14" i="3"/>
  <c r="H11" i="3"/>
  <c r="H10" i="3"/>
  <c r="C18" i="1" s="1"/>
  <c r="H9" i="3"/>
  <c r="I4" i="4"/>
  <c r="I5" i="4"/>
  <c r="I6" i="4"/>
  <c r="I7" i="4"/>
  <c r="I8" i="4"/>
  <c r="I9" i="4"/>
  <c r="I10" i="4"/>
  <c r="I11" i="4"/>
  <c r="I12" i="4"/>
  <c r="I13" i="4"/>
  <c r="I14" i="4"/>
  <c r="I15" i="4"/>
  <c r="I16" i="4"/>
  <c r="H6" i="3"/>
  <c r="H5" i="3"/>
  <c r="H4" i="3"/>
  <c r="I3" i="4"/>
  <c r="D31" i="1" l="1"/>
  <c r="H28" i="1"/>
  <c r="C22" i="4" l="1"/>
  <c r="D22" i="4" l="1"/>
  <c r="E22" i="4" l="1"/>
  <c r="D32" i="1"/>
  <c r="D33" i="1" s="1"/>
  <c r="D34" i="1" s="1"/>
  <c r="I7" i="1" l="1"/>
  <c r="I5" i="1"/>
  <c r="D35" i="1"/>
  <c r="C32" i="1"/>
  <c r="C35" i="1" l="1"/>
  <c r="C33" i="1"/>
  <c r="C34" i="1"/>
  <c r="C30" i="1"/>
  <c r="D30" i="1" s="1"/>
  <c r="C31" i="1"/>
  <c r="H8" i="1"/>
  <c r="H33" i="1" l="1"/>
  <c r="I33" i="1" s="1"/>
  <c r="H32" i="1"/>
  <c r="I32" i="1" s="1"/>
  <c r="H14" i="1"/>
  <c r="I14" i="1" l="1"/>
  <c r="H11" i="1"/>
  <c r="H17" i="1"/>
  <c r="H19" i="1" s="1"/>
  <c r="I24" i="1" s="1"/>
  <c r="C81" i="1"/>
  <c r="E84" i="1"/>
  <c r="D83" i="1" s="1"/>
  <c r="J14" i="1"/>
  <c r="I8" i="1"/>
  <c r="C36" i="1" l="1"/>
  <c r="C37" i="1" s="1"/>
  <c r="H12" i="1" s="1"/>
  <c r="H13" i="1" s="1"/>
  <c r="H34" i="1" s="1"/>
  <c r="I27" i="1"/>
  <c r="I11" i="1"/>
  <c r="J11" i="1" s="1"/>
  <c r="I23" i="1"/>
  <c r="I25" i="1"/>
  <c r="I26" i="1"/>
  <c r="J6" i="1"/>
  <c r="J8" i="1"/>
  <c r="J5" i="1"/>
  <c r="J7" i="1"/>
  <c r="D36" i="1" l="1"/>
  <c r="D37" i="1" s="1"/>
  <c r="I28" i="1"/>
  <c r="H35" i="1" s="1"/>
  <c r="I35" i="1" s="1"/>
  <c r="I12" i="1"/>
  <c r="J12" i="1" s="1"/>
  <c r="I13" i="1" l="1"/>
  <c r="J13" i="1" s="1"/>
  <c r="I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Tranmer</author>
    <author>John Downen</author>
  </authors>
  <commentList>
    <comment ref="C5" authorId="0" shapeId="0" xr:uid="{D8F583A1-1179-4933-9DCC-B0D7E6507155}">
      <text>
        <r>
          <rPr>
            <sz val="9"/>
            <color indexed="81"/>
            <rFont val="Tahoma"/>
            <family val="2"/>
          </rPr>
          <t>Use the drop down to choose in which County the site is located.</t>
        </r>
      </text>
    </comment>
    <comment ref="H5" authorId="1" shapeId="0" xr:uid="{797F8D33-72BE-4377-A01A-094FEE851152}">
      <text>
        <r>
          <rPr>
            <sz val="9"/>
            <color indexed="81"/>
            <rFont val="Tahoma"/>
            <family val="2"/>
          </rPr>
          <t>Enter the purchase cost of the land.</t>
        </r>
      </text>
    </comment>
    <comment ref="C6" authorId="0" shapeId="0" xr:uid="{E569D928-84EA-494F-A105-6D027ECA14E5}">
      <text>
        <r>
          <rPr>
            <sz val="9"/>
            <color indexed="81"/>
            <rFont val="Tahoma"/>
            <family val="2"/>
          </rPr>
          <t xml:space="preserve">Use the drop down to indicate what type of activity willl occur on the site in the proposed redevelopment. Choose the closest match.
</t>
        </r>
      </text>
    </comment>
    <comment ref="H7" authorId="1" shapeId="0" xr:uid="{9BF8AD29-3F4E-4EA1-80A8-8D92D08DE24A}">
      <text>
        <r>
          <rPr>
            <sz val="9"/>
            <color indexed="81"/>
            <rFont val="Tahoma"/>
            <family val="2"/>
          </rPr>
          <t>Enter other costs to develop the site. This could include installation of utilities, other infrastructure extensions like roads, demolition of existing structures, sitework needed to prepare the land for development (clearing, leveling, etc.), environmental remediation, and soft costs associated with planning, permitting, legal, etc. Note that the "construction cost" line above includes contractor and architect fees, as well as the typical hard costs associated with building construction.</t>
        </r>
      </text>
    </comment>
    <comment ref="C8" authorId="1" shapeId="0" xr:uid="{027B32C6-4922-48E7-B6D7-849E800E21E6}">
      <text>
        <r>
          <rPr>
            <sz val="9"/>
            <color indexed="81"/>
            <rFont val="Tahoma"/>
            <family val="2"/>
          </rPr>
          <t>Enter the size of the site in acres.</t>
        </r>
      </text>
    </comment>
    <comment ref="C9" authorId="1" shapeId="0" xr:uid="{9D282F63-0E74-495C-8072-19CCD6C6E715}">
      <text>
        <r>
          <rPr>
            <sz val="9"/>
            <color indexed="81"/>
            <rFont val="Tahoma"/>
            <family val="2"/>
          </rPr>
          <t>Enter your best estimate of the portion of the site that is developable, as a %. This would exclude features like ponds, streams, or wetlands or excessively steep terrain.</t>
        </r>
      </text>
    </comment>
    <comment ref="C10" authorId="1" shapeId="0" xr:uid="{83C683F3-5051-45DC-8744-75E0EECA063C}">
      <text>
        <r>
          <rPr>
            <sz val="9"/>
            <color indexed="81"/>
            <rFont val="Tahoma"/>
            <family val="2"/>
          </rPr>
          <t>Enter the portion of the developable area that will be covered by the building footprint, as a %.</t>
        </r>
      </text>
    </comment>
    <comment ref="C11" authorId="1" shapeId="0" xr:uid="{3136FC28-3709-4500-AF4D-3F137A2DE348}">
      <text>
        <r>
          <rPr>
            <sz val="9"/>
            <color indexed="81"/>
            <rFont val="Tahoma"/>
            <family val="2"/>
          </rPr>
          <t>Enter the number of stories the proposed building will have, as a whole number.</t>
        </r>
      </text>
    </comment>
    <comment ref="H18" authorId="1" shapeId="0" xr:uid="{FDDDC89F-F847-4FD0-B189-B787B46B9DD6}">
      <text>
        <r>
          <rPr>
            <sz val="9"/>
            <color indexed="81"/>
            <rFont val="Tahoma"/>
            <family val="2"/>
          </rPr>
          <t>Enter the parcel equalization rate as a %. This is the assessed value as a percent of the market value. See https://www.tax.ny.gov/research/property/assess/eqratecounty.htm to find your area's rate.</t>
        </r>
      </text>
    </comment>
    <comment ref="C22" authorId="1" shapeId="0" xr:uid="{2DB418FC-C862-4028-B526-4C2F8B5C7DB8}">
      <text>
        <r>
          <rPr>
            <sz val="9"/>
            <color indexed="81"/>
            <rFont val="Tahoma"/>
            <family val="2"/>
          </rPr>
          <t>Enter the expected interest rate on a construction loan for the project.</t>
        </r>
      </text>
    </comment>
    <comment ref="C23" authorId="1" shapeId="0" xr:uid="{03046F51-75B3-437E-99C1-B396A91A40EE}">
      <text>
        <r>
          <rPr>
            <sz val="9"/>
            <color indexed="81"/>
            <rFont val="Tahoma"/>
            <family val="2"/>
          </rPr>
          <t>Enter the duration of the loan, in years.</t>
        </r>
      </text>
    </comment>
    <comment ref="H23" authorId="1" shapeId="0" xr:uid="{78D60A0D-2A32-4E53-AE07-83E1127455CE}">
      <text>
        <r>
          <rPr>
            <sz val="9"/>
            <color indexed="81"/>
            <rFont val="Tahoma"/>
            <family val="2"/>
          </rPr>
          <t>Enter the tax rate, in dollars and cents per $1000 of assessed value, of any taxing jurisdictions that cover the property.</t>
        </r>
      </text>
    </comment>
    <comment ref="C27" authorId="1" shapeId="0" xr:uid="{DCE717E0-D989-42C5-ABE1-C009920BAE42}">
      <text>
        <r>
          <rPr>
            <sz val="9"/>
            <color indexed="81"/>
            <rFont val="Tahoma"/>
            <family val="2"/>
          </rPr>
          <t>Enter the minimum return on investment required by the developer, as a %. The cash-on-cash return is the annual cash flow of the finished project divided by the cash (equity) invested in the project. The minimum return entered here is used to calculate the minimum equity capital (in cell H12) that an investor would need to contribute for the developer to earn that return.
As of Q4 2022, typical ranges were:
• Multifamily: 4%–14%
• Office: 7%–16%
• Industrial: 6%–16%</t>
        </r>
      </text>
    </comment>
    <comment ref="G35" authorId="1" shapeId="0" xr:uid="{4E499237-00BE-41B2-9DCB-253877FA784A}">
      <text>
        <r>
          <rPr>
            <sz val="9"/>
            <color indexed="81"/>
            <rFont val="Tahoma"/>
            <family val="2"/>
          </rPr>
          <t>This assumes no property tax abatement.</t>
        </r>
      </text>
    </comment>
  </commentList>
</comments>
</file>

<file path=xl/sharedStrings.xml><?xml version="1.0" encoding="utf-8"?>
<sst xmlns="http://schemas.openxmlformats.org/spreadsheetml/2006/main" count="308" uniqueCount="214">
  <si>
    <t>Power Plant Site Redevelopment Calculator</t>
  </si>
  <si>
    <t>Development Scenario</t>
  </si>
  <si>
    <t>Uses of Capital</t>
  </si>
  <si>
    <t>Value</t>
  </si>
  <si>
    <t>Per Sq. Ft.</t>
  </si>
  <si>
    <t>Share</t>
  </si>
  <si>
    <t>County</t>
  </si>
  <si>
    <t>New York County</t>
  </si>
  <si>
    <t>Select county.</t>
  </si>
  <si>
    <t>Land acquisition cost</t>
  </si>
  <si>
    <t>Enter land acquisition cost.</t>
  </si>
  <si>
    <t>Reuse potential</t>
  </si>
  <si>
    <t>Industrial</t>
  </si>
  <si>
    <t>Select use type.</t>
  </si>
  <si>
    <t>Construction cost</t>
  </si>
  <si>
    <t>Other known development costs</t>
  </si>
  <si>
    <t>Enter other known development costs.</t>
  </si>
  <si>
    <t>Total site acreage</t>
  </si>
  <si>
    <t>Enter acreage.</t>
  </si>
  <si>
    <t>Total Project Cost</t>
  </si>
  <si>
    <t>Percent of site developable</t>
  </si>
  <si>
    <t>Enter percent.</t>
  </si>
  <si>
    <t>Lot coverage (of developable area)</t>
  </si>
  <si>
    <t>Sources of Capital</t>
  </si>
  <si>
    <t>Building stories</t>
  </si>
  <si>
    <t>Enter whole number.</t>
  </si>
  <si>
    <t>Loan</t>
  </si>
  <si>
    <t>Equity</t>
  </si>
  <si>
    <t>Other Source</t>
  </si>
  <si>
    <t>Total Sources</t>
  </si>
  <si>
    <t>Operating Assumptions</t>
  </si>
  <si>
    <t>Annual Property Tax Revenue Generated</t>
  </si>
  <si>
    <t>Lease Rate per SF</t>
  </si>
  <si>
    <t>Market Value</t>
  </si>
  <si>
    <t>Vacancy Rate</t>
  </si>
  <si>
    <t>Equalization Rate</t>
  </si>
  <si>
    <t>Enter equalization rate (level of assessment).</t>
  </si>
  <si>
    <t>Market Cap Rate</t>
  </si>
  <si>
    <t>Assessed Value</t>
  </si>
  <si>
    <t>Financing Assumptions</t>
  </si>
  <si>
    <t>Taxing Jurisdiction</t>
  </si>
  <si>
    <t>Mill Rates</t>
  </si>
  <si>
    <t>Annual Revenue</t>
  </si>
  <si>
    <t>Interest Rate</t>
  </si>
  <si>
    <t>Enter mill rates
in dollars per $1,000 of assessed value.</t>
  </si>
  <si>
    <t>Loan Term (Years)</t>
  </si>
  <si>
    <t>Enter term in years.</t>
  </si>
  <si>
    <t>School District</t>
  </si>
  <si>
    <t>Minimum Debt Service Coverage Ratio</t>
  </si>
  <si>
    <t>City or Town</t>
  </si>
  <si>
    <t>Minimum Cash-on-Cash Return</t>
  </si>
  <si>
    <t>Enter return.</t>
  </si>
  <si>
    <t>Village</t>
  </si>
  <si>
    <t>Other Special District</t>
  </si>
  <si>
    <t>Operating Pro Forma</t>
  </si>
  <si>
    <t>Total</t>
  </si>
  <si>
    <t>Potential Rental Income</t>
  </si>
  <si>
    <t>Vacancy Loss</t>
  </si>
  <si>
    <t>Other Income</t>
  </si>
  <si>
    <t>K E Y   O U T P U T S</t>
  </si>
  <si>
    <t>Effective Gross Income (EGI)</t>
  </si>
  <si>
    <t>Metric</t>
  </si>
  <si>
    <t>Per Sq. Ft</t>
  </si>
  <si>
    <t>Operating Expenses</t>
  </si>
  <si>
    <t>Net Operating Income (NOI)</t>
  </si>
  <si>
    <t>Estimated Full Market Value</t>
  </si>
  <si>
    <t>Funding Gap</t>
  </si>
  <si>
    <t>Annual Property Tax Revenue</t>
  </si>
  <si>
    <t>Profit Margin</t>
  </si>
  <si>
    <t>Required Developer Margin</t>
  </si>
  <si>
    <t>Lease Rate Lookup</t>
  </si>
  <si>
    <t>Market</t>
  </si>
  <si>
    <t>Development Type</t>
  </si>
  <si>
    <t>Albany County</t>
  </si>
  <si>
    <t>Albany</t>
  </si>
  <si>
    <t>Office</t>
  </si>
  <si>
    <t>Columbia County</t>
  </si>
  <si>
    <t>Fulton County</t>
  </si>
  <si>
    <t>Multifamily</t>
  </si>
  <si>
    <t>Greene County</t>
  </si>
  <si>
    <t>Montgomery County</t>
  </si>
  <si>
    <t>Vacancy Rate Lookup</t>
  </si>
  <si>
    <t>Rensselaer County</t>
  </si>
  <si>
    <t>Saratoga County</t>
  </si>
  <si>
    <t>Schenectady County</t>
  </si>
  <si>
    <t>Schoharie County</t>
  </si>
  <si>
    <t>Broome County</t>
  </si>
  <si>
    <t>Binghamton</t>
  </si>
  <si>
    <t>Market Cap Rate Lookup</t>
  </si>
  <si>
    <t>Chenango County</t>
  </si>
  <si>
    <t>Cortland County</t>
  </si>
  <si>
    <t>Delaware County</t>
  </si>
  <si>
    <t>Otsego County</t>
  </si>
  <si>
    <t>Tioga County</t>
  </si>
  <si>
    <t>Erie County</t>
  </si>
  <si>
    <t>Buffalo</t>
  </si>
  <si>
    <t>Niagara County</t>
  </si>
  <si>
    <t>Wyoming County</t>
  </si>
  <si>
    <t>Cattaraugus County</t>
  </si>
  <si>
    <t>Chautauqua County</t>
  </si>
  <si>
    <t>Allegany County</t>
  </si>
  <si>
    <t>Elmira</t>
  </si>
  <si>
    <t>Chemung County</t>
  </si>
  <si>
    <t>Schuyler County</t>
  </si>
  <si>
    <t>Steuben County</t>
  </si>
  <si>
    <t>Clinton County</t>
  </si>
  <si>
    <t>Glens Falls</t>
  </si>
  <si>
    <t>Essex County</t>
  </si>
  <si>
    <t>Franklin County</t>
  </si>
  <si>
    <t>Hamilton County</t>
  </si>
  <si>
    <t>Warren County</t>
  </si>
  <si>
    <t>Washington County</t>
  </si>
  <si>
    <t>Tompkins County</t>
  </si>
  <si>
    <t>Ithaca</t>
  </si>
  <si>
    <t>Sullivan County</t>
  </si>
  <si>
    <t>Kingston</t>
  </si>
  <si>
    <t>Ulster County</t>
  </si>
  <si>
    <t>Nassau County</t>
  </si>
  <si>
    <t>Long Island</t>
  </si>
  <si>
    <t>Suffolk County</t>
  </si>
  <si>
    <t>Bronx County</t>
  </si>
  <si>
    <t>New York</t>
  </si>
  <si>
    <t>Kings County</t>
  </si>
  <si>
    <t>Queens County</t>
  </si>
  <si>
    <t>Richmond County</t>
  </si>
  <si>
    <t>Orange County</t>
  </si>
  <si>
    <t>Rockland County</t>
  </si>
  <si>
    <t>Westchester County</t>
  </si>
  <si>
    <t>Dutchess County</t>
  </si>
  <si>
    <t>Poughkeepsie</t>
  </si>
  <si>
    <t>Putnam County</t>
  </si>
  <si>
    <t>Genesee County</t>
  </si>
  <si>
    <t>Rochester</t>
  </si>
  <si>
    <t>Livingston County</t>
  </si>
  <si>
    <t>Monroe County</t>
  </si>
  <si>
    <t>Ontario County</t>
  </si>
  <si>
    <t>Orleans County</t>
  </si>
  <si>
    <t>Wayne County</t>
  </si>
  <si>
    <t>Yates County</t>
  </si>
  <si>
    <t>Cayuga County</t>
  </si>
  <si>
    <t>Syracuse</t>
  </si>
  <si>
    <t>Madison County</t>
  </si>
  <si>
    <t>Onondaga County</t>
  </si>
  <si>
    <t>Oswego County</t>
  </si>
  <si>
    <t>Seneca County</t>
  </si>
  <si>
    <t>Herkimer County</t>
  </si>
  <si>
    <t>Utica</t>
  </si>
  <si>
    <t>Oneida County</t>
  </si>
  <si>
    <t>Jefferson County</t>
  </si>
  <si>
    <t>Watertown</t>
  </si>
  <si>
    <t>Lewis County</t>
  </si>
  <si>
    <t>St. Lawrence County</t>
  </si>
  <si>
    <t>Office - Cap Rate</t>
  </si>
  <si>
    <t>Industrial - Cap Rate</t>
  </si>
  <si>
    <t>Multifamily - Cap Rate</t>
  </si>
  <si>
    <t>Office - Market Rent/SF</t>
  </si>
  <si>
    <t>Industrial - Market Rent/SF</t>
  </si>
  <si>
    <t>Multifamily - Market Effective Rent/SF/mo</t>
  </si>
  <si>
    <t>Multifamily - Market Effective Rent/SF/yr</t>
  </si>
  <si>
    <t>Multifamily - Market Effective Rent/Unit</t>
  </si>
  <si>
    <t>Office - Market Sale Price/SF</t>
  </si>
  <si>
    <t>Industrial - Market Sale Price/SF</t>
  </si>
  <si>
    <t>Multifamily - Market Sale Price/Unit</t>
  </si>
  <si>
    <t>Office - Vacancy Rate</t>
  </si>
  <si>
    <t>Industrial - Vacancy Rate</t>
  </si>
  <si>
    <t>Multifamily - Vacancy Rate</t>
  </si>
  <si>
    <t>RS Means - Construction Cost Location Factor</t>
  </si>
  <si>
    <t>Other Income as a Pct. of Rent</t>
  </si>
  <si>
    <t>Expenses as a Pct. of EGI</t>
  </si>
  <si>
    <t>Low</t>
  </si>
  <si>
    <t>High</t>
  </si>
  <si>
    <t>Midrange</t>
  </si>
  <si>
    <t>Reuse</t>
  </si>
  <si>
    <t>Annual Cash Flow</t>
  </si>
  <si>
    <t>Annual Debt Service Payment</t>
  </si>
  <si>
    <t>Maximum Loan-to-Value Ratio</t>
  </si>
  <si>
    <t>Maximum Loan-to-Cost Ratio</t>
  </si>
  <si>
    <r>
      <t xml:space="preserve">Select the county and reuse type from the drop-down menus that appear when each cell is selected. Enter additional project information in the </t>
    </r>
    <r>
      <rPr>
        <u/>
        <sz val="10"/>
        <color theme="1"/>
        <rFont val="Segoe UI"/>
        <family val="2"/>
      </rPr>
      <t>shaded cells</t>
    </r>
    <r>
      <rPr>
        <sz val="10"/>
        <color theme="1"/>
        <rFont val="Segoe UI"/>
        <family val="2"/>
      </rPr>
      <t>. The calculator will generate operating assumptions, an operating pro forma, EGI, NOI, sources of capital, total project cost, estimated market value, the funding gap, and annual property tax revenue.</t>
    </r>
  </si>
  <si>
    <t>Building area (total gross area in SF)</t>
  </si>
  <si>
    <t>Building footprint (SF)</t>
  </si>
  <si>
    <t>Assessed Value of Project</t>
  </si>
  <si>
    <t>The Power Plant Site Redevelopment Calculator</t>
  </si>
  <si>
    <t>The model requires the following inputs:</t>
  </si>
  <si>
    <t>Uses of Capital (Project Costs)</t>
  </si>
  <si>
    <t>Property Tax</t>
  </si>
  <si>
    <t>·        Equalization rate (level at which property is assessed). Click for more info.</t>
  </si>
  <si>
    <t xml:space="preserve">INPUTS </t>
  </si>
  <si>
    <t>The model’s key outputs are as follows:</t>
  </si>
  <si>
    <t>·        Estimated Full Market Value – estimates the value of the project as complete given projected cash flows and market cap rates. A cap rate is the ratio of net operating income (NOI)[1] to market sale price for comparable properties.</t>
  </si>
  <si>
    <t>[1] Net Operating Income (NOI) = Potential Rental Income – Vacancy Loss + Other Income – Operating Expenses</t>
  </si>
  <si>
    <t>OUTPUTS</t>
  </si>
  <si>
    <r>
      <t>·</t>
    </r>
    <r>
      <rPr>
        <sz val="7"/>
        <color theme="1"/>
        <rFont val="Segoe UI"/>
        <family val="2"/>
      </rPr>
      <t xml:space="preserve">        </t>
    </r>
    <r>
      <rPr>
        <sz val="11"/>
        <color theme="1"/>
        <rFont val="Segoe UI"/>
        <family val="2"/>
      </rPr>
      <t>County where the site is located</t>
    </r>
  </si>
  <si>
    <r>
      <t>·</t>
    </r>
    <r>
      <rPr>
        <sz val="7"/>
        <color theme="1"/>
        <rFont val="Segoe UI"/>
        <family val="2"/>
      </rPr>
      <t xml:space="preserve">        </t>
    </r>
    <r>
      <rPr>
        <sz val="11"/>
        <color theme="1"/>
        <rFont val="Segoe UI"/>
        <family val="2"/>
      </rPr>
      <t>Generalized reuse project to be modeled (office, industrial, or multifamily residential)</t>
    </r>
  </si>
  <si>
    <r>
      <t>·</t>
    </r>
    <r>
      <rPr>
        <sz val="7"/>
        <color theme="1"/>
        <rFont val="Segoe UI"/>
        <family val="2"/>
      </rPr>
      <t xml:space="preserve">        </t>
    </r>
    <r>
      <rPr>
        <sz val="11"/>
        <color theme="1"/>
        <rFont val="Segoe UI"/>
        <family val="2"/>
      </rPr>
      <t>Total site acreage and percent developable (after accounting for wetlands, steep slopes, and other undevelopable areas)</t>
    </r>
  </si>
  <si>
    <r>
      <t>·</t>
    </r>
    <r>
      <rPr>
        <sz val="7"/>
        <color theme="1"/>
        <rFont val="Segoe UI"/>
        <family val="2"/>
      </rPr>
      <t xml:space="preserve">        </t>
    </r>
    <r>
      <rPr>
        <sz val="11"/>
        <color theme="1"/>
        <rFont val="Segoe UI"/>
        <family val="2"/>
      </rPr>
      <t>Lot coverage of developable area (percentage of the developable area that the building footprint would occupy)</t>
    </r>
  </si>
  <si>
    <r>
      <t>·</t>
    </r>
    <r>
      <rPr>
        <sz val="7"/>
        <color theme="1"/>
        <rFont val="Segoe UI"/>
        <family val="2"/>
      </rPr>
      <t xml:space="preserve">        </t>
    </r>
    <r>
      <rPr>
        <sz val="11"/>
        <color theme="1"/>
        <rFont val="Segoe UI"/>
        <family val="2"/>
      </rPr>
      <t>Number of building stories</t>
    </r>
  </si>
  <si>
    <r>
      <t>·</t>
    </r>
    <r>
      <rPr>
        <sz val="7"/>
        <color theme="1"/>
        <rFont val="Segoe UI"/>
        <family val="2"/>
      </rPr>
      <t xml:space="preserve">        </t>
    </r>
    <r>
      <rPr>
        <sz val="11"/>
        <color theme="1"/>
        <rFont val="Segoe UI"/>
        <family val="2"/>
      </rPr>
      <t>Interest rate for bank financing</t>
    </r>
  </si>
  <si>
    <r>
      <t>·</t>
    </r>
    <r>
      <rPr>
        <sz val="7"/>
        <color theme="1"/>
        <rFont val="Segoe UI"/>
        <family val="2"/>
      </rPr>
      <t xml:space="preserve">        </t>
    </r>
    <r>
      <rPr>
        <sz val="11"/>
        <color theme="1"/>
        <rFont val="Segoe UI"/>
        <family val="2"/>
      </rPr>
      <t>Loan term in years</t>
    </r>
  </si>
  <si>
    <r>
      <t>·</t>
    </r>
    <r>
      <rPr>
        <sz val="7"/>
        <color theme="1"/>
        <rFont val="Segoe UI"/>
        <family val="2"/>
      </rPr>
      <t xml:space="preserve">        </t>
    </r>
    <r>
      <rPr>
        <sz val="11"/>
        <color theme="1"/>
        <rFont val="Segoe UI"/>
        <family val="2"/>
      </rPr>
      <t>Minimum cash-on-cash return required by a private investor (fluctuates based on level of risk tolerance and alternative investment options available in the marketplace). As of Q42022, typical ranges are as follows:</t>
    </r>
  </si>
  <si>
    <r>
      <t>o</t>
    </r>
    <r>
      <rPr>
        <sz val="7"/>
        <color theme="1"/>
        <rFont val="Segoe UI"/>
        <family val="2"/>
      </rPr>
      <t xml:space="preserve">   </t>
    </r>
    <r>
      <rPr>
        <sz val="11"/>
        <color theme="1"/>
        <rFont val="Segoe UI"/>
        <family val="2"/>
      </rPr>
      <t>Multifamily: 4%–14% (mid-range: 9%)</t>
    </r>
  </si>
  <si>
    <r>
      <t>o</t>
    </r>
    <r>
      <rPr>
        <sz val="7"/>
        <color theme="1"/>
        <rFont val="Segoe UI"/>
        <family val="2"/>
      </rPr>
      <t xml:space="preserve">   </t>
    </r>
    <r>
      <rPr>
        <sz val="11"/>
        <color theme="1"/>
        <rFont val="Segoe UI"/>
        <family val="2"/>
      </rPr>
      <t>Office: 7%–16% (mid-range: 11.5%)</t>
    </r>
  </si>
  <si>
    <r>
      <t>o</t>
    </r>
    <r>
      <rPr>
        <sz val="7"/>
        <color theme="1"/>
        <rFont val="Segoe UI"/>
        <family val="2"/>
      </rPr>
      <t xml:space="preserve">   </t>
    </r>
    <r>
      <rPr>
        <sz val="11"/>
        <color theme="1"/>
        <rFont val="Segoe UI"/>
        <family val="2"/>
      </rPr>
      <t>Industrial: 6%–16% (mid-range: 11%)</t>
    </r>
  </si>
  <si>
    <r>
      <t>·</t>
    </r>
    <r>
      <rPr>
        <sz val="7"/>
        <color theme="1"/>
        <rFont val="Segoe UI"/>
        <family val="2"/>
      </rPr>
      <t xml:space="preserve">        </t>
    </r>
    <r>
      <rPr>
        <sz val="11"/>
        <color theme="1"/>
        <rFont val="Segoe UI"/>
        <family val="2"/>
      </rPr>
      <t>Land acquisition cost</t>
    </r>
  </si>
  <si>
    <r>
      <t>·</t>
    </r>
    <r>
      <rPr>
        <sz val="7"/>
        <color theme="1"/>
        <rFont val="Segoe UI"/>
        <family val="2"/>
      </rPr>
      <t xml:space="preserve">        </t>
    </r>
    <r>
      <rPr>
        <sz val="11"/>
        <color theme="1"/>
        <rFont val="Segoe UI"/>
        <family val="2"/>
      </rPr>
      <t>Other known development costs beyond typical building construction costs (e.g., environmental remediation, hazard mitigation, sitework, infrastructure, etc.)</t>
    </r>
  </si>
  <si>
    <r>
      <t>·</t>
    </r>
    <r>
      <rPr>
        <sz val="7"/>
        <color theme="1"/>
        <rFont val="Segoe UI"/>
        <family val="2"/>
      </rPr>
      <t xml:space="preserve">        </t>
    </r>
    <r>
      <rPr>
        <sz val="11"/>
        <color theme="1"/>
        <rFont val="Segoe UI"/>
        <family val="2"/>
      </rPr>
      <t>Taxing jurisdiction mill rates (county, school district, city/town, village, other)</t>
    </r>
  </si>
  <si>
    <r>
      <t>·</t>
    </r>
    <r>
      <rPr>
        <sz val="7"/>
        <color theme="1"/>
        <rFont val="Segoe UI"/>
        <family val="2"/>
      </rPr>
      <t xml:space="preserve">        </t>
    </r>
    <r>
      <rPr>
        <b/>
        <sz val="11"/>
        <color theme="1"/>
        <rFont val="Segoe UI"/>
        <family val="2"/>
      </rPr>
      <t>Total Project Cost</t>
    </r>
    <r>
      <rPr>
        <sz val="11"/>
        <color theme="1"/>
        <rFont val="Segoe UI"/>
        <family val="2"/>
      </rPr>
      <t xml:space="preserve"> – reflects building construction, land acquisition, and other known development costs.</t>
    </r>
  </si>
  <si>
    <r>
      <t>·</t>
    </r>
    <r>
      <rPr>
        <sz val="7"/>
        <color theme="1"/>
        <rFont val="Segoe UI"/>
        <family val="2"/>
      </rPr>
      <t xml:space="preserve">        </t>
    </r>
    <r>
      <rPr>
        <b/>
        <sz val="11"/>
        <color theme="1"/>
        <rFont val="Segoe UI"/>
        <family val="2"/>
      </rPr>
      <t>Funding Gap</t>
    </r>
    <r>
      <rPr>
        <sz val="11"/>
        <color theme="1"/>
        <rFont val="Segoe UI"/>
        <family val="2"/>
      </rPr>
      <t xml:space="preserve"> – the additional capital needed to fund the project, beyond investor equity and bank financing. This would typically be some form of public subsidy.</t>
    </r>
  </si>
  <si>
    <r>
      <t>·</t>
    </r>
    <r>
      <rPr>
        <sz val="7"/>
        <color theme="1"/>
        <rFont val="Segoe UI"/>
        <family val="2"/>
      </rPr>
      <t xml:space="preserve">        </t>
    </r>
    <r>
      <rPr>
        <b/>
        <sz val="11"/>
        <color theme="1"/>
        <rFont val="Segoe UI"/>
        <family val="2"/>
      </rPr>
      <t>Annual Property Tax Revenue</t>
    </r>
    <r>
      <rPr>
        <sz val="11"/>
        <color theme="1"/>
        <rFont val="Segoe UI"/>
        <family val="2"/>
      </rPr>
      <t xml:space="preserve"> – estimate of property tax revenue to be generated annually by the site based on property value and local property tax mill rates.</t>
    </r>
  </si>
  <si>
    <t xml:space="preserve">The Power Plant Site Redevelopment Calculator may be used as a “first pass” at financial feasibility modeling to understand the general order of magnitude of development costs, operating cash flows, sources of capital, property tax revenue generation potential, and the funding gap. These high-level estimates can be used for planning purposes and refined as potential projects become more concrete. Refer to the corresponding guidebook for more information. </t>
  </si>
  <si>
    <t>Construction Costs per Square Foot</t>
  </si>
  <si>
    <r>
      <t>Source:</t>
    </r>
    <r>
      <rPr>
        <sz val="10"/>
        <color theme="1"/>
        <rFont val="Calibri"/>
        <family val="2"/>
        <scheme val="minor"/>
      </rPr>
      <t xml:space="preserve"> CoStar,</t>
    </r>
    <r>
      <rPr>
        <sz val="10"/>
        <rFont val="Calibri"/>
        <family val="2"/>
        <scheme val="minor"/>
      </rPr>
      <t xml:space="preserve"> as of 9/19/2022</t>
    </r>
  </si>
  <si>
    <t>Data &amp; Sources column</t>
  </si>
  <si>
    <r>
      <t>Source:</t>
    </r>
    <r>
      <rPr>
        <sz val="10"/>
        <rFont val="Calibri"/>
        <family val="2"/>
        <scheme val="minor"/>
      </rPr>
      <t xml:space="preserve"> RS Means, as of 2022</t>
    </r>
  </si>
  <si>
    <r>
      <t>Source:</t>
    </r>
    <r>
      <rPr>
        <sz val="10"/>
        <color theme="1"/>
        <rFont val="Calibri"/>
        <family val="2"/>
        <scheme val="minor"/>
      </rPr>
      <t xml:space="preserve"> CoStar,</t>
    </r>
    <r>
      <rPr>
        <sz val="10"/>
        <rFont val="Calibri"/>
        <family val="2"/>
        <scheme val="minor"/>
      </rPr>
      <t xml:space="preserve"> as of 9/19,2022; RS Means, </t>
    </r>
    <r>
      <rPr>
        <sz val="10"/>
        <color theme="1"/>
        <rFont val="Calibri"/>
        <family val="2"/>
        <scheme val="minor"/>
      </rPr>
      <t>as of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</si>
</sst>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
    <numFmt numFmtId="168" formatCode="&quot;$&quot;#,##0.00"/>
    <numFmt numFmtId="169" formatCode="&quot;$&quot;#,##0"/>
  </numFmts>
  <fonts count="31" x14ac:knownFonts="1">
    <font>
      <sz val="11"/>
      <color theme="1"/>
      <name val="Calibri"/>
      <family val="2"/>
      <scheme val="minor"/>
    </font>
    <font>
      <sz val="10"/>
      <color theme="1"/>
      <name val="Segoe UI"/>
      <family val="2"/>
    </font>
    <font>
      <sz val="10"/>
      <color theme="1"/>
      <name val="Segoe UI"/>
      <family val="2"/>
    </font>
    <font>
      <sz val="10"/>
      <color theme="1"/>
      <name val="Segoe UI"/>
      <family val="2"/>
    </font>
    <font>
      <sz val="10"/>
      <color theme="1"/>
      <name val="Segoe UI"/>
      <family val="2"/>
    </font>
    <font>
      <sz val="10"/>
      <color theme="1"/>
      <name val="Segoe UI"/>
      <family val="2"/>
    </font>
    <font>
      <sz val="11"/>
      <color theme="1"/>
      <name val="Calibri"/>
      <family val="2"/>
      <scheme val="minor"/>
    </font>
    <font>
      <b/>
      <sz val="11"/>
      <color theme="1"/>
      <name val="Calibri"/>
      <family val="2"/>
      <scheme val="minor"/>
    </font>
    <font>
      <sz val="11"/>
      <name val="Calibri"/>
      <family val="2"/>
    </font>
    <font>
      <sz val="10"/>
      <color rgb="FFFF0000"/>
      <name val="Segoe UI"/>
      <family val="2"/>
    </font>
    <font>
      <b/>
      <sz val="10"/>
      <color theme="1"/>
      <name val="Segoe UI"/>
      <family val="2"/>
    </font>
    <font>
      <sz val="8"/>
      <color theme="1"/>
      <name val="Calibri"/>
      <family val="2"/>
      <scheme val="minor"/>
    </font>
    <font>
      <i/>
      <sz val="11"/>
      <color theme="1"/>
      <name val="Calibri"/>
      <family val="2"/>
      <scheme val="minor"/>
    </font>
    <font>
      <b/>
      <sz val="10"/>
      <color theme="0"/>
      <name val="Segoe UI"/>
      <family val="2"/>
    </font>
    <font>
      <b/>
      <sz val="11"/>
      <color rgb="FF00336C"/>
      <name val="Segoe UI"/>
      <family val="2"/>
    </font>
    <font>
      <sz val="10"/>
      <color rgb="FF00336C"/>
      <name val="Segoe UI"/>
      <family val="2"/>
    </font>
    <font>
      <b/>
      <sz val="10"/>
      <color rgb="FF00336C"/>
      <name val="Segoe UI"/>
      <family val="2"/>
    </font>
    <font>
      <sz val="9"/>
      <color rgb="FF00336C"/>
      <name val="Segoe UI"/>
      <family val="2"/>
    </font>
    <font>
      <b/>
      <sz val="18"/>
      <color theme="1"/>
      <name val="Segoe UI"/>
      <family val="2"/>
    </font>
    <font>
      <b/>
      <sz val="14"/>
      <color theme="1"/>
      <name val="Segoe UI"/>
      <family val="2"/>
    </font>
    <font>
      <u/>
      <sz val="10"/>
      <color theme="1"/>
      <name val="Segoe UI"/>
      <family val="2"/>
    </font>
    <font>
      <sz val="9"/>
      <color indexed="81"/>
      <name val="Tahoma"/>
      <family val="2"/>
    </font>
    <font>
      <u/>
      <sz val="11"/>
      <color theme="10"/>
      <name val="Calibri"/>
      <family val="2"/>
      <scheme val="minor"/>
    </font>
    <font>
      <sz val="11"/>
      <color theme="1"/>
      <name val="Segoe UI"/>
      <family val="2"/>
    </font>
    <font>
      <b/>
      <sz val="11"/>
      <color theme="1"/>
      <name val="Segoe UI"/>
      <family val="2"/>
    </font>
    <font>
      <sz val="7"/>
      <color theme="1"/>
      <name val="Segoe UI"/>
      <family val="2"/>
    </font>
    <font>
      <u/>
      <sz val="11"/>
      <color theme="10"/>
      <name val="Segoe UI"/>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00336C"/>
        <bgColor indexed="64"/>
      </patternFill>
    </fill>
    <fill>
      <patternFill patternType="solid">
        <fgColor theme="0"/>
        <bgColor theme="0"/>
      </patternFill>
    </fill>
  </fills>
  <borders count="31">
    <border>
      <left/>
      <right/>
      <top/>
      <bottom/>
      <diagonal/>
    </border>
    <border>
      <left/>
      <right/>
      <top style="thin">
        <color indexed="64"/>
      </top>
      <bottom/>
      <diagonal/>
    </border>
    <border>
      <left/>
      <right/>
      <top/>
      <bottom style="thin">
        <color indexed="64"/>
      </bottom>
      <diagonal/>
    </border>
    <border>
      <left style="thick">
        <color theme="4"/>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right style="thick">
        <color theme="4"/>
      </right>
      <top/>
      <bottom style="thin">
        <color indexed="64"/>
      </bottom>
      <diagonal/>
    </border>
    <border>
      <left/>
      <right/>
      <top/>
      <bottom style="thin">
        <color rgb="FF00336C"/>
      </bottom>
      <diagonal/>
    </border>
    <border>
      <left style="thin">
        <color rgb="FF00336C"/>
      </left>
      <right style="thin">
        <color rgb="FF00336C"/>
      </right>
      <top style="thin">
        <color rgb="FF00336C"/>
      </top>
      <bottom style="thin">
        <color rgb="FF00336C"/>
      </bottom>
      <diagonal/>
    </border>
    <border>
      <left/>
      <right/>
      <top/>
      <bottom style="thin">
        <color theme="0" tint="-0.14996795556505021"/>
      </bottom>
      <diagonal/>
    </border>
    <border>
      <left/>
      <right/>
      <top style="thin">
        <color theme="0" tint="-0.14996795556505021"/>
      </top>
      <bottom style="medium">
        <color rgb="FF00336C"/>
      </bottom>
      <diagonal/>
    </border>
    <border>
      <left/>
      <right/>
      <top style="thin">
        <color rgb="FF183D5E"/>
      </top>
      <bottom style="medium">
        <color rgb="FF183D5E"/>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right/>
      <top style="thick">
        <color theme="4"/>
      </top>
      <bottom/>
      <diagonal/>
    </border>
    <border>
      <left style="thick">
        <color theme="4"/>
      </left>
      <right/>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top/>
      <bottom style="thick">
        <color theme="4"/>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top/>
      <bottom style="thin">
        <color indexed="64"/>
      </bottom>
      <diagonal/>
    </border>
    <border>
      <left style="thin">
        <color theme="0" tint="-0.24994659260841701"/>
      </left>
      <right/>
      <top/>
      <bottom/>
      <diagonal/>
    </border>
    <border>
      <left style="thin">
        <color theme="0" tint="-0.24994659260841701"/>
      </left>
      <right/>
      <top style="thin">
        <color indexed="64"/>
      </top>
      <bottom/>
      <diagonal/>
    </border>
  </borders>
  <cellStyleXfs count="13">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9" fontId="14" fillId="4" borderId="10">
      <alignment horizontal="left"/>
    </xf>
    <xf numFmtId="0" fontId="13" fillId="5" borderId="11">
      <alignment wrapText="1"/>
    </xf>
    <xf numFmtId="0" fontId="15" fillId="4" borderId="12" applyNumberFormat="0">
      <alignment wrapText="1"/>
    </xf>
    <xf numFmtId="0" fontId="15" fillId="6" borderId="13" applyNumberFormat="0">
      <alignment wrapText="1"/>
    </xf>
    <xf numFmtId="0" fontId="16" fillId="4" borderId="14" applyNumberFormat="0"/>
    <xf numFmtId="0" fontId="17" fillId="4" borderId="15">
      <alignment horizontal="left" wrapText="1"/>
    </xf>
    <xf numFmtId="0" fontId="17" fillId="4" borderId="0">
      <alignment horizontal="left" wrapText="1"/>
    </xf>
    <xf numFmtId="0" fontId="4" fillId="0" borderId="0" applyNumberFormat="0"/>
    <xf numFmtId="0" fontId="22" fillId="0" borderId="0" applyNumberFormat="0" applyFill="0" applyBorder="0" applyAlignment="0" applyProtection="0"/>
  </cellStyleXfs>
  <cellXfs count="126">
    <xf numFmtId="0" fontId="0" fillId="0" borderId="0" xfId="0"/>
    <xf numFmtId="165" fontId="0" fillId="0" borderId="0" xfId="2" applyNumberFormat="1" applyFont="1"/>
    <xf numFmtId="0" fontId="7" fillId="0" borderId="0" xfId="0" applyFont="1"/>
    <xf numFmtId="166" fontId="0" fillId="0" borderId="0" xfId="0" applyNumberFormat="1"/>
    <xf numFmtId="43" fontId="0" fillId="0" borderId="0" xfId="1" applyFont="1"/>
    <xf numFmtId="0" fontId="7" fillId="0" borderId="0" xfId="0" applyFont="1" applyAlignment="1">
      <alignment wrapText="1"/>
    </xf>
    <xf numFmtId="0" fontId="0" fillId="0" borderId="0" xfId="0" applyAlignment="1">
      <alignment wrapText="1"/>
    </xf>
    <xf numFmtId="9" fontId="0" fillId="0" borderId="0" xfId="0" applyNumberFormat="1"/>
    <xf numFmtId="0" fontId="5" fillId="0" borderId="0" xfId="0" applyFont="1"/>
    <xf numFmtId="0" fontId="10" fillId="0" borderId="0" xfId="0" applyFont="1"/>
    <xf numFmtId="0" fontId="0" fillId="0" borderId="0" xfId="0" applyAlignment="1">
      <alignment horizontal="center" wrapText="1"/>
    </xf>
    <xf numFmtId="167" fontId="8" fillId="0" borderId="0" xfId="0" applyNumberFormat="1" applyFont="1" applyAlignment="1">
      <alignment horizontal="center" wrapText="1"/>
    </xf>
    <xf numFmtId="43" fontId="0" fillId="0" borderId="0" xfId="1" applyFont="1" applyAlignment="1">
      <alignment horizontal="center" wrapText="1"/>
    </xf>
    <xf numFmtId="166" fontId="0" fillId="0" borderId="0" xfId="0" applyNumberFormat="1" applyAlignment="1">
      <alignment horizontal="center"/>
    </xf>
    <xf numFmtId="166" fontId="0" fillId="0" borderId="0" xfId="3" applyNumberFormat="1" applyFont="1" applyAlignment="1">
      <alignment horizontal="center"/>
    </xf>
    <xf numFmtId="168" fontId="0" fillId="0" borderId="0" xfId="2" applyNumberFormat="1" applyFont="1" applyAlignment="1">
      <alignment horizontal="center"/>
    </xf>
    <xf numFmtId="169" fontId="0" fillId="0" borderId="0" xfId="2" applyNumberFormat="1" applyFont="1" applyAlignment="1">
      <alignment horizontal="center"/>
    </xf>
    <xf numFmtId="4" fontId="0" fillId="0" borderId="0" xfId="1" applyNumberFormat="1" applyFont="1" applyAlignment="1">
      <alignment horizontal="center"/>
    </xf>
    <xf numFmtId="9" fontId="0" fillId="0" borderId="0" xfId="0" applyNumberFormat="1" applyAlignment="1">
      <alignment horizontal="center"/>
    </xf>
    <xf numFmtId="0" fontId="7" fillId="0" borderId="0" xfId="0" applyFont="1" applyAlignment="1">
      <alignment horizontal="center"/>
    </xf>
    <xf numFmtId="0" fontId="11" fillId="0" borderId="0" xfId="0" applyFont="1" applyAlignment="1">
      <alignment horizontal="center"/>
    </xf>
    <xf numFmtId="0" fontId="9" fillId="0" borderId="0" xfId="0" applyFont="1"/>
    <xf numFmtId="0" fontId="10" fillId="0" borderId="0" xfId="0" applyFont="1" applyAlignment="1">
      <alignment horizontal="right"/>
    </xf>
    <xf numFmtId="3" fontId="0" fillId="0" borderId="0" xfId="0" applyNumberFormat="1"/>
    <xf numFmtId="0" fontId="12" fillId="0" borderId="0" xfId="0" applyFont="1"/>
    <xf numFmtId="9" fontId="9" fillId="0" borderId="0" xfId="3" applyFont="1"/>
    <xf numFmtId="42" fontId="9" fillId="0" borderId="0" xfId="0" applyNumberFormat="1" applyFont="1"/>
    <xf numFmtId="9" fontId="9" fillId="2" borderId="0" xfId="3" applyFont="1" applyFill="1"/>
    <xf numFmtId="6" fontId="9" fillId="0" borderId="0" xfId="2" applyNumberFormat="1" applyFont="1"/>
    <xf numFmtId="0" fontId="10" fillId="0" borderId="1" xfId="0" applyFont="1" applyBorder="1"/>
    <xf numFmtId="8" fontId="10" fillId="0" borderId="1" xfId="2" applyNumberFormat="1" applyFont="1" applyFill="1" applyBorder="1"/>
    <xf numFmtId="8" fontId="10" fillId="0" borderId="1" xfId="0" applyNumberFormat="1" applyFont="1" applyBorder="1"/>
    <xf numFmtId="9" fontId="10" fillId="0" borderId="1" xfId="3" applyFont="1" applyBorder="1"/>
    <xf numFmtId="0" fontId="10" fillId="0" borderId="2" xfId="0" applyFont="1" applyBorder="1"/>
    <xf numFmtId="0" fontId="10" fillId="0" borderId="2" xfId="0" applyFont="1" applyBorder="1" applyAlignment="1">
      <alignment horizontal="right"/>
    </xf>
    <xf numFmtId="169" fontId="10" fillId="0" borderId="1" xfId="0" applyNumberFormat="1" applyFont="1" applyBorder="1"/>
    <xf numFmtId="169" fontId="10" fillId="0" borderId="1" xfId="2" applyNumberFormat="1" applyFont="1" applyBorder="1"/>
    <xf numFmtId="3" fontId="10" fillId="0" borderId="2" xfId="1" applyNumberFormat="1" applyFont="1" applyBorder="1" applyAlignment="1">
      <alignment horizontal="right"/>
    </xf>
    <xf numFmtId="6" fontId="10" fillId="0" borderId="2" xfId="0" applyNumberFormat="1" applyFont="1" applyBorder="1" applyAlignment="1">
      <alignment horizontal="right"/>
    </xf>
    <xf numFmtId="0" fontId="10" fillId="0" borderId="2" xfId="0" applyFont="1" applyBorder="1" applyAlignment="1">
      <alignment horizontal="right" indent="1"/>
    </xf>
    <xf numFmtId="5" fontId="10" fillId="0" borderId="1" xfId="2" applyNumberFormat="1" applyFont="1" applyBorder="1"/>
    <xf numFmtId="0" fontId="10" fillId="0" borderId="2" xfId="0" applyFont="1" applyBorder="1" applyAlignment="1">
      <alignment horizontal="right" wrapText="1"/>
    </xf>
    <xf numFmtId="0" fontId="15" fillId="4" borderId="0" xfId="6" applyBorder="1" applyAlignment="1"/>
    <xf numFmtId="6" fontId="15" fillId="4" borderId="0" xfId="6" applyNumberFormat="1" applyBorder="1" applyAlignment="1"/>
    <xf numFmtId="0" fontId="10" fillId="0" borderId="0" xfId="0" applyFont="1" applyAlignment="1">
      <alignment horizontal="center"/>
    </xf>
    <xf numFmtId="0" fontId="10" fillId="3" borderId="22" xfId="0" applyFont="1" applyFill="1" applyBorder="1"/>
    <xf numFmtId="0" fontId="10" fillId="3" borderId="9" xfId="0" applyFont="1" applyFill="1" applyBorder="1" applyAlignment="1">
      <alignment horizontal="right"/>
    </xf>
    <xf numFmtId="0" fontId="10" fillId="3" borderId="24" xfId="0" applyFont="1" applyFill="1" applyBorder="1" applyAlignment="1">
      <alignment horizontal="right" indent="1"/>
    </xf>
    <xf numFmtId="0" fontId="4" fillId="0" borderId="0" xfId="0" applyFont="1"/>
    <xf numFmtId="0" fontId="4" fillId="0" borderId="2" xfId="0" applyFont="1" applyBorder="1"/>
    <xf numFmtId="43" fontId="4" fillId="0" borderId="0" xfId="0" applyNumberFormat="1" applyFont="1"/>
    <xf numFmtId="0" fontId="4" fillId="2" borderId="17" xfId="0" applyFont="1" applyFill="1" applyBorder="1"/>
    <xf numFmtId="169" fontId="4" fillId="2" borderId="19" xfId="2" applyNumberFormat="1" applyFont="1" applyFill="1" applyBorder="1"/>
    <xf numFmtId="169" fontId="4" fillId="0" borderId="0" xfId="0" applyNumberFormat="1" applyFont="1"/>
    <xf numFmtId="9" fontId="4" fillId="0" borderId="0" xfId="3" applyFont="1"/>
    <xf numFmtId="0" fontId="4" fillId="2" borderId="16" xfId="0" applyFont="1" applyFill="1" applyBorder="1"/>
    <xf numFmtId="169" fontId="4" fillId="0" borderId="0" xfId="2" applyNumberFormat="1" applyFont="1"/>
    <xf numFmtId="169" fontId="4" fillId="2" borderId="20" xfId="0" applyNumberFormat="1" applyFont="1" applyFill="1" applyBorder="1"/>
    <xf numFmtId="9" fontId="4" fillId="2" borderId="16" xfId="0" applyNumberFormat="1" applyFont="1" applyFill="1" applyBorder="1"/>
    <xf numFmtId="9" fontId="4" fillId="2" borderId="16" xfId="3" applyFont="1" applyFill="1" applyBorder="1"/>
    <xf numFmtId="3" fontId="4" fillId="0" borderId="0" xfId="1" applyNumberFormat="1" applyFont="1"/>
    <xf numFmtId="6" fontId="4" fillId="0" borderId="0" xfId="0" applyNumberFormat="1" applyFont="1"/>
    <xf numFmtId="7" fontId="4" fillId="0" borderId="0" xfId="0" applyNumberFormat="1" applyFont="1"/>
    <xf numFmtId="42" fontId="4" fillId="0" borderId="0" xfId="0" applyNumberFormat="1" applyFont="1"/>
    <xf numFmtId="9" fontId="4" fillId="0" borderId="2" xfId="0" applyNumberFormat="1" applyFont="1" applyBorder="1"/>
    <xf numFmtId="8" fontId="4" fillId="0" borderId="0" xfId="0" applyNumberFormat="1" applyFont="1"/>
    <xf numFmtId="166" fontId="4" fillId="0" borderId="0" xfId="0" applyNumberFormat="1" applyFont="1"/>
    <xf numFmtId="10" fontId="4" fillId="0" borderId="0" xfId="0" applyNumberFormat="1" applyFont="1"/>
    <xf numFmtId="9" fontId="4" fillId="2" borderId="17" xfId="0" applyNumberFormat="1" applyFont="1" applyFill="1" applyBorder="1"/>
    <xf numFmtId="164" fontId="4" fillId="2" borderId="16" xfId="1" applyNumberFormat="1" applyFont="1" applyFill="1" applyBorder="1"/>
    <xf numFmtId="166" fontId="4" fillId="2" borderId="16" xfId="0" applyNumberFormat="1" applyFont="1" applyFill="1" applyBorder="1"/>
    <xf numFmtId="0" fontId="4" fillId="2" borderId="18" xfId="0" applyFont="1" applyFill="1" applyBorder="1"/>
    <xf numFmtId="5" fontId="4" fillId="0" borderId="0" xfId="2" applyNumberFormat="1" applyFont="1"/>
    <xf numFmtId="0" fontId="4" fillId="0" borderId="0" xfId="0" applyFont="1" applyAlignment="1">
      <alignment vertical="center"/>
    </xf>
    <xf numFmtId="5" fontId="4" fillId="0" borderId="0" xfId="2" applyNumberFormat="1" applyFont="1" applyAlignment="1">
      <alignment vertical="center"/>
    </xf>
    <xf numFmtId="8" fontId="4" fillId="0" borderId="0" xfId="2" applyNumberFormat="1" applyFont="1" applyFill="1" applyAlignment="1">
      <alignment vertical="center"/>
    </xf>
    <xf numFmtId="7" fontId="4" fillId="0" borderId="0" xfId="2" applyNumberFormat="1" applyFont="1"/>
    <xf numFmtId="0" fontId="4" fillId="3" borderId="5" xfId="0" applyFont="1" applyFill="1" applyBorder="1"/>
    <xf numFmtId="5" fontId="4" fillId="3" borderId="23" xfId="0" applyNumberFormat="1" applyFont="1" applyFill="1" applyBorder="1"/>
    <xf numFmtId="5" fontId="4" fillId="3" borderId="6" xfId="0" applyNumberFormat="1" applyFont="1" applyFill="1" applyBorder="1"/>
    <xf numFmtId="0" fontId="4" fillId="3" borderId="7" xfId="0" applyFont="1" applyFill="1" applyBorder="1"/>
    <xf numFmtId="6" fontId="4" fillId="3" borderId="25" xfId="0" applyNumberFormat="1" applyFont="1" applyFill="1" applyBorder="1"/>
    <xf numFmtId="5" fontId="4" fillId="3" borderId="8" xfId="0" applyNumberFormat="1" applyFont="1" applyFill="1" applyBorder="1"/>
    <xf numFmtId="44" fontId="4" fillId="0" borderId="0" xfId="0" applyNumberFormat="1" applyFont="1"/>
    <xf numFmtId="0" fontId="4" fillId="0" borderId="0" xfId="0" applyFont="1" applyAlignment="1" applyProtection="1">
      <alignment horizontal="left" vertical="center"/>
      <protection locked="0"/>
    </xf>
    <xf numFmtId="0" fontId="3" fillId="0" borderId="0" xfId="0" applyFont="1"/>
    <xf numFmtId="5" fontId="5" fillId="0" borderId="0" xfId="0" applyNumberFormat="1" applyFont="1"/>
    <xf numFmtId="5" fontId="10" fillId="0" borderId="1" xfId="0" applyNumberFormat="1" applyFont="1" applyBorder="1"/>
    <xf numFmtId="7" fontId="10" fillId="0" borderId="1" xfId="0" applyNumberFormat="1" applyFont="1" applyBorder="1"/>
    <xf numFmtId="7" fontId="5" fillId="0" borderId="0" xfId="0" applyNumberFormat="1" applyFont="1"/>
    <xf numFmtId="43" fontId="5" fillId="0" borderId="0" xfId="1" applyFont="1"/>
    <xf numFmtId="43" fontId="4" fillId="4" borderId="26" xfId="1" applyFont="1" applyFill="1" applyBorder="1"/>
    <xf numFmtId="9" fontId="4" fillId="4" borderId="0" xfId="1" applyNumberFormat="1" applyFont="1" applyFill="1" applyBorder="1"/>
    <xf numFmtId="9" fontId="4" fillId="4" borderId="27" xfId="1" applyNumberFormat="1" applyFont="1" applyFill="1" applyBorder="1"/>
    <xf numFmtId="169" fontId="0" fillId="0" borderId="0" xfId="0" applyNumberFormat="1" applyAlignment="1">
      <alignment horizontal="center"/>
    </xf>
    <xf numFmtId="0" fontId="2" fillId="0" borderId="0" xfId="0" applyFont="1"/>
    <xf numFmtId="2" fontId="10" fillId="0" borderId="0" xfId="0" applyNumberFormat="1" applyFont="1"/>
    <xf numFmtId="0" fontId="23" fillId="0" borderId="0" xfId="0" applyFont="1"/>
    <xf numFmtId="0" fontId="23" fillId="0" borderId="0" xfId="0" applyFont="1" applyAlignment="1">
      <alignment horizontal="left" vertical="top" wrapText="1"/>
    </xf>
    <xf numFmtId="0" fontId="23" fillId="0" borderId="0" xfId="0" applyFont="1" applyAlignment="1">
      <alignment horizontal="left" vertical="center" indent="5"/>
    </xf>
    <xf numFmtId="0" fontId="23" fillId="0" borderId="0" xfId="0" applyFont="1" applyAlignment="1">
      <alignment horizontal="left" vertical="center" indent="10"/>
    </xf>
    <xf numFmtId="0" fontId="24" fillId="0" borderId="0" xfId="0" applyFont="1" applyAlignment="1">
      <alignment horizontal="left" vertical="center" indent="5"/>
    </xf>
    <xf numFmtId="0" fontId="23" fillId="0" borderId="0" xfId="0" applyFont="1" applyAlignment="1">
      <alignment horizontal="left" vertical="center" indent="15"/>
    </xf>
    <xf numFmtId="0" fontId="26" fillId="0" borderId="0" xfId="12" applyFont="1" applyAlignment="1">
      <alignment horizontal="left" vertical="center" indent="10"/>
    </xf>
    <xf numFmtId="0" fontId="26" fillId="0" borderId="0" xfId="12" applyFont="1" applyAlignment="1">
      <alignment horizontal="left" vertical="center" indent="5"/>
    </xf>
    <xf numFmtId="0" fontId="26" fillId="0" borderId="0" xfId="12" applyFont="1" applyAlignment="1">
      <alignment vertical="center"/>
    </xf>
    <xf numFmtId="0" fontId="28" fillId="0" borderId="0" xfId="0" applyFont="1"/>
    <xf numFmtId="0" fontId="30" fillId="0" borderId="0" xfId="0" applyFont="1"/>
    <xf numFmtId="0" fontId="18" fillId="0" borderId="0" xfId="0" applyFont="1" applyAlignment="1">
      <alignment horizontal="left"/>
    </xf>
    <xf numFmtId="0" fontId="23" fillId="0" borderId="0" xfId="0" applyFont="1" applyAlignment="1">
      <alignment horizontal="left"/>
    </xf>
    <xf numFmtId="0" fontId="23" fillId="0" borderId="0" xfId="0" applyFont="1" applyAlignment="1">
      <alignment horizontal="left" vertical="top" wrapText="1"/>
    </xf>
    <xf numFmtId="0" fontId="15" fillId="4" borderId="0" xfId="6" applyBorder="1" applyAlignment="1">
      <alignment vertical="center" wrapText="1"/>
    </xf>
    <xf numFmtId="6" fontId="4" fillId="0" borderId="28" xfId="0" applyNumberFormat="1" applyFont="1" applyBorder="1"/>
    <xf numFmtId="6" fontId="4" fillId="0" borderId="2" xfId="0" applyNumberFormat="1" applyFont="1" applyBorder="1"/>
    <xf numFmtId="0" fontId="18" fillId="0" borderId="0" xfId="0" applyFont="1" applyAlignment="1">
      <alignment wrapText="1"/>
    </xf>
    <xf numFmtId="0" fontId="4" fillId="0" borderId="0" xfId="0" applyFont="1" applyAlignment="1">
      <alignment vertical="top" wrapText="1"/>
    </xf>
    <xf numFmtId="0" fontId="19" fillId="3" borderId="3" xfId="0" applyFont="1" applyFill="1" applyBorder="1" applyAlignment="1">
      <alignment horizontal="center"/>
    </xf>
    <xf numFmtId="0" fontId="19" fillId="3" borderId="21" xfId="0" applyFont="1" applyFill="1" applyBorder="1" applyAlignment="1">
      <alignment horizontal="center"/>
    </xf>
    <xf numFmtId="0" fontId="19" fillId="3" borderId="4" xfId="0" applyFont="1" applyFill="1" applyBorder="1" applyAlignment="1">
      <alignment horizontal="center"/>
    </xf>
    <xf numFmtId="0" fontId="10" fillId="0" borderId="2" xfId="0" applyFont="1" applyBorder="1" applyAlignment="1">
      <alignment horizontal="right"/>
    </xf>
    <xf numFmtId="6" fontId="10" fillId="0" borderId="1" xfId="0" applyNumberFormat="1" applyFont="1" applyBorder="1"/>
    <xf numFmtId="0" fontId="10" fillId="0" borderId="0" xfId="0" applyFont="1" applyAlignment="1">
      <alignment horizontal="center"/>
    </xf>
    <xf numFmtId="6" fontId="4" fillId="0" borderId="30" xfId="0" applyNumberFormat="1" applyFont="1" applyBorder="1"/>
    <xf numFmtId="6" fontId="4" fillId="0" borderId="1" xfId="0" applyNumberFormat="1" applyFont="1" applyBorder="1"/>
    <xf numFmtId="6" fontId="4" fillId="0" borderId="29" xfId="0" applyNumberFormat="1" applyFont="1" applyBorder="1"/>
    <xf numFmtId="6" fontId="4" fillId="0" borderId="0" xfId="0" applyNumberFormat="1" applyFont="1"/>
  </cellXfs>
  <cellStyles count="13">
    <cellStyle name="1Title - Camoin Table" xfId="4" xr:uid="{8061EB01-36AF-4F42-92FE-697F261A1F20}"/>
    <cellStyle name="2Header - Camoin Table" xfId="5" xr:uid="{C4F3EECA-8BAC-4798-BD8B-D915542FE668}"/>
    <cellStyle name="3Body - Camoin Table" xfId="6" xr:uid="{3DBAF484-2AE6-4FB8-AE74-7143994E47D3}"/>
    <cellStyle name="4Bottom Row - Camoin Table" xfId="7" xr:uid="{C0EAB29A-A745-4882-A041-331C3C2D8675}"/>
    <cellStyle name="5Total Row - Camoin Table" xfId="8" xr:uid="{B12F8749-16A6-4DCC-89FB-5964D965FE89}"/>
    <cellStyle name="6Note - Camoin Table" xfId="9" xr:uid="{5275A10B-15BF-449A-B302-77718B6A43B0}"/>
    <cellStyle name="7Source - Camoin Table" xfId="10" xr:uid="{6FBF7986-AF21-4BF3-AF64-C03D682B93FB}"/>
    <cellStyle name="8SegoeNoFormatting" xfId="11" xr:uid="{FCCC8E4D-FF24-4740-9B68-E712E9EAB78D}"/>
    <cellStyle name="Comma" xfId="1" builtinId="3"/>
    <cellStyle name="Currency" xfId="2" builtinId="4"/>
    <cellStyle name="Hyperlink" xfId="1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ax.ny.gov/research/property/assess/eqratecounty.ht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8638-E99A-40C3-B91E-00B7FF8D0846}">
  <sheetPr>
    <tabColor theme="7" tint="0.79998168889431442"/>
  </sheetPr>
  <dimension ref="A1:J37"/>
  <sheetViews>
    <sheetView showGridLines="0" workbookViewId="0">
      <selection activeCell="A17" sqref="A17:XFD17"/>
    </sheetView>
  </sheetViews>
  <sheetFormatPr defaultColWidth="8.88671875" defaultRowHeight="16.8" x14ac:dyDescent="0.4"/>
  <cols>
    <col min="1" max="7" width="8.88671875" style="97"/>
    <col min="8" max="8" width="22.5546875" style="97" customWidth="1"/>
    <col min="9" max="9" width="10" style="97" customWidth="1"/>
    <col min="10" max="16384" width="8.88671875" style="97"/>
  </cols>
  <sheetData>
    <row r="1" spans="1:10" ht="34.950000000000003" customHeight="1" x14ac:dyDescent="0.6">
      <c r="A1" s="108" t="s">
        <v>181</v>
      </c>
      <c r="B1" s="109"/>
      <c r="C1" s="109"/>
      <c r="D1" s="109"/>
      <c r="E1" s="109"/>
      <c r="F1" s="109"/>
      <c r="G1" s="109"/>
      <c r="H1" s="109"/>
      <c r="I1" s="109"/>
      <c r="J1" s="109"/>
    </row>
    <row r="2" spans="1:10" ht="87.6" customHeight="1" x14ac:dyDescent="0.4">
      <c r="A2" s="110" t="s">
        <v>208</v>
      </c>
      <c r="B2" s="110"/>
      <c r="C2" s="110"/>
      <c r="D2" s="110"/>
      <c r="E2" s="110"/>
      <c r="F2" s="110"/>
      <c r="G2" s="110"/>
      <c r="H2" s="110"/>
      <c r="I2" s="110"/>
    </row>
    <row r="3" spans="1:10" x14ac:dyDescent="0.4">
      <c r="A3" s="98"/>
      <c r="B3" s="98"/>
      <c r="C3" s="98"/>
      <c r="D3" s="98"/>
      <c r="E3" s="98"/>
      <c r="F3" s="98"/>
      <c r="G3" s="98"/>
      <c r="H3" s="98"/>
      <c r="I3" s="98"/>
    </row>
    <row r="4" spans="1:10" x14ac:dyDescent="0.4">
      <c r="A4" s="108" t="s">
        <v>186</v>
      </c>
      <c r="B4" s="108"/>
      <c r="C4" s="108"/>
      <c r="D4" s="108"/>
      <c r="E4" s="108"/>
      <c r="F4" s="98"/>
      <c r="G4" s="98"/>
      <c r="H4" s="98"/>
      <c r="I4" s="98"/>
    </row>
    <row r="5" spans="1:10" x14ac:dyDescent="0.4">
      <c r="A5" s="108"/>
      <c r="B5" s="108"/>
      <c r="C5" s="108"/>
      <c r="D5" s="108"/>
      <c r="E5" s="108"/>
    </row>
    <row r="6" spans="1:10" x14ac:dyDescent="0.4">
      <c r="A6" s="99" t="s">
        <v>182</v>
      </c>
    </row>
    <row r="7" spans="1:10" x14ac:dyDescent="0.4">
      <c r="A7" s="101" t="s">
        <v>1</v>
      </c>
    </row>
    <row r="8" spans="1:10" x14ac:dyDescent="0.4">
      <c r="A8" s="100" t="s">
        <v>191</v>
      </c>
    </row>
    <row r="9" spans="1:10" x14ac:dyDescent="0.4">
      <c r="A9" s="100" t="s">
        <v>192</v>
      </c>
    </row>
    <row r="10" spans="1:10" x14ac:dyDescent="0.4">
      <c r="A10" s="100" t="s">
        <v>193</v>
      </c>
    </row>
    <row r="11" spans="1:10" x14ac:dyDescent="0.4">
      <c r="A11" s="100" t="s">
        <v>194</v>
      </c>
    </row>
    <row r="12" spans="1:10" x14ac:dyDescent="0.4">
      <c r="A12" s="100" t="s">
        <v>195</v>
      </c>
    </row>
    <row r="13" spans="1:10" x14ac:dyDescent="0.4">
      <c r="A13" s="101" t="s">
        <v>39</v>
      </c>
    </row>
    <row r="14" spans="1:10" x14ac:dyDescent="0.4">
      <c r="A14" s="100" t="s">
        <v>196</v>
      </c>
    </row>
    <row r="15" spans="1:10" x14ac:dyDescent="0.4">
      <c r="A15" s="100" t="s">
        <v>197</v>
      </c>
    </row>
    <row r="16" spans="1:10" x14ac:dyDescent="0.4">
      <c r="A16" s="100" t="s">
        <v>198</v>
      </c>
    </row>
    <row r="17" spans="1:5" x14ac:dyDescent="0.4">
      <c r="A17" s="102" t="s">
        <v>199</v>
      </c>
    </row>
    <row r="18" spans="1:5" x14ac:dyDescent="0.4">
      <c r="A18" s="102" t="s">
        <v>200</v>
      </c>
    </row>
    <row r="19" spans="1:5" x14ac:dyDescent="0.4">
      <c r="A19" s="102" t="s">
        <v>201</v>
      </c>
    </row>
    <row r="20" spans="1:5" x14ac:dyDescent="0.4">
      <c r="A20" s="101" t="s">
        <v>183</v>
      </c>
    </row>
    <row r="21" spans="1:5" x14ac:dyDescent="0.4">
      <c r="A21" s="100" t="s">
        <v>202</v>
      </c>
    </row>
    <row r="22" spans="1:5" x14ac:dyDescent="0.4">
      <c r="A22" s="100" t="s">
        <v>203</v>
      </c>
    </row>
    <row r="23" spans="1:5" x14ac:dyDescent="0.4">
      <c r="A23" s="101" t="s">
        <v>184</v>
      </c>
    </row>
    <row r="24" spans="1:5" x14ac:dyDescent="0.4">
      <c r="A24" s="103" t="s">
        <v>185</v>
      </c>
    </row>
    <row r="25" spans="1:5" x14ac:dyDescent="0.4">
      <c r="A25" s="100" t="s">
        <v>204</v>
      </c>
    </row>
    <row r="26" spans="1:5" x14ac:dyDescent="0.4">
      <c r="A26" s="104"/>
    </row>
    <row r="28" spans="1:5" x14ac:dyDescent="0.4">
      <c r="A28" s="108" t="s">
        <v>190</v>
      </c>
      <c r="B28" s="108"/>
      <c r="C28" s="108"/>
      <c r="D28" s="108"/>
      <c r="E28" s="108"/>
    </row>
    <row r="29" spans="1:5" ht="14.4" customHeight="1" x14ac:dyDescent="0.4">
      <c r="A29" s="108"/>
      <c r="B29" s="108"/>
      <c r="C29" s="108"/>
      <c r="D29" s="108"/>
      <c r="E29" s="108"/>
    </row>
    <row r="30" spans="1:5" ht="14.4" customHeight="1" x14ac:dyDescent="0.4">
      <c r="A30" s="99" t="s">
        <v>187</v>
      </c>
    </row>
    <row r="31" spans="1:5" x14ac:dyDescent="0.4">
      <c r="A31" s="100" t="s">
        <v>205</v>
      </c>
    </row>
    <row r="32" spans="1:5" x14ac:dyDescent="0.4">
      <c r="A32" s="103" t="s">
        <v>188</v>
      </c>
    </row>
    <row r="33" spans="1:1" x14ac:dyDescent="0.4">
      <c r="A33" s="100" t="s">
        <v>206</v>
      </c>
    </row>
    <row r="34" spans="1:1" x14ac:dyDescent="0.4">
      <c r="A34" s="100" t="s">
        <v>207</v>
      </c>
    </row>
    <row r="37" spans="1:1" x14ac:dyDescent="0.4">
      <c r="A37" s="105" t="s">
        <v>189</v>
      </c>
    </row>
  </sheetData>
  <mergeCells count="4">
    <mergeCell ref="A1:J1"/>
    <mergeCell ref="A2:I2"/>
    <mergeCell ref="A4:E5"/>
    <mergeCell ref="A28:E29"/>
  </mergeCells>
  <hyperlinks>
    <hyperlink ref="A24" r:id="rId1" display="https://www.tax.ny.gov/research/property/assess/eqratecounty.htm" xr:uid="{27468EBF-9CB8-490B-B544-9593D5F621BA}"/>
    <hyperlink ref="A32" location="_ftn1" display="_ftn1" xr:uid="{68DF3AFF-5C59-4830-943C-A327A482E3F8}"/>
    <hyperlink ref="A37" location="_ftnref1" display="_ftnref1" xr:uid="{785821F7-5046-42B3-9E53-0DF88382723F}"/>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F510F-CD08-46F4-9D54-CDCC9FFBC791}">
  <sheetPr>
    <tabColor theme="9" tint="0.79998168889431442"/>
  </sheetPr>
  <dimension ref="A1:K84"/>
  <sheetViews>
    <sheetView showGridLines="0" tabSelected="1" zoomScaleNormal="100" workbookViewId="0">
      <pane ySplit="2" topLeftCell="A3" activePane="bottomLeft" state="frozen"/>
      <selection pane="bottomLeft" activeCell="C23" sqref="C22:C23"/>
    </sheetView>
  </sheetViews>
  <sheetFormatPr defaultColWidth="9.109375" defaultRowHeight="15" x14ac:dyDescent="0.35"/>
  <cols>
    <col min="1" max="1" width="3.5546875" style="8" customWidth="1"/>
    <col min="2" max="2" width="34" style="8" bestFit="1" customWidth="1"/>
    <col min="3" max="3" width="17.88671875" style="8" customWidth="1"/>
    <col min="4" max="4" width="10.88671875" style="8" bestFit="1" customWidth="1"/>
    <col min="5" max="5" width="9.88671875" style="8" customWidth="1"/>
    <col min="6" max="6" width="5.44140625" style="8" customWidth="1"/>
    <col min="7" max="7" width="28" style="8" customWidth="1"/>
    <col min="8" max="8" width="12.88671875" style="8" customWidth="1"/>
    <col min="9" max="9" width="10.5546875" style="8" customWidth="1"/>
    <col min="10" max="10" width="9.33203125" style="8" customWidth="1"/>
    <col min="11" max="11" width="18.88671875" style="8" customWidth="1"/>
    <col min="12" max="16384" width="9.109375" style="8"/>
  </cols>
  <sheetData>
    <row r="1" spans="1:11" ht="27" x14ac:dyDescent="0.6">
      <c r="B1" s="114" t="s">
        <v>0</v>
      </c>
      <c r="C1" s="114"/>
      <c r="D1" s="114"/>
      <c r="E1" s="114"/>
      <c r="F1" s="114"/>
      <c r="G1" s="114"/>
      <c r="H1" s="48"/>
      <c r="I1" s="48"/>
      <c r="J1" s="48"/>
      <c r="K1" s="48"/>
    </row>
    <row r="2" spans="1:11" ht="57.75" customHeight="1" x14ac:dyDescent="0.35">
      <c r="B2" s="115" t="s">
        <v>177</v>
      </c>
      <c r="C2" s="115"/>
      <c r="D2" s="115"/>
      <c r="E2" s="115"/>
      <c r="F2" s="115"/>
      <c r="G2" s="115"/>
      <c r="H2" s="48"/>
      <c r="I2" s="48"/>
      <c r="J2" s="48"/>
      <c r="K2" s="48"/>
    </row>
    <row r="3" spans="1:11" x14ac:dyDescent="0.35">
      <c r="B3" s="48"/>
      <c r="C3" s="44"/>
      <c r="D3" s="48"/>
      <c r="E3" s="48"/>
      <c r="F3" s="48"/>
      <c r="G3" s="48"/>
      <c r="H3" s="44"/>
      <c r="I3" s="48"/>
      <c r="J3" s="48"/>
      <c r="K3" s="48"/>
    </row>
    <row r="4" spans="1:11" x14ac:dyDescent="0.35">
      <c r="B4" s="33" t="s">
        <v>1</v>
      </c>
      <c r="C4" s="49"/>
      <c r="D4" s="22"/>
      <c r="E4" s="22"/>
      <c r="F4" s="48"/>
      <c r="G4" s="33" t="s">
        <v>2</v>
      </c>
      <c r="H4" s="37" t="s">
        <v>3</v>
      </c>
      <c r="I4" s="34" t="s">
        <v>4</v>
      </c>
      <c r="J4" s="34" t="s">
        <v>5</v>
      </c>
      <c r="K4" s="50"/>
    </row>
    <row r="5" spans="1:11" x14ac:dyDescent="0.35">
      <c r="A5" s="9">
        <v>1</v>
      </c>
      <c r="B5" s="48" t="s">
        <v>6</v>
      </c>
      <c r="C5" s="51" t="s">
        <v>73</v>
      </c>
      <c r="D5" s="42" t="s">
        <v>8</v>
      </c>
      <c r="E5" s="48"/>
      <c r="F5" s="48"/>
      <c r="G5" s="48" t="s">
        <v>9</v>
      </c>
      <c r="H5" s="52"/>
      <c r="I5" s="53" t="e">
        <f>H5/C14</f>
        <v>#DIV/0!</v>
      </c>
      <c r="J5" s="54" t="e">
        <f>I5/$I$8</f>
        <v>#DIV/0!</v>
      </c>
      <c r="K5" s="42" t="s">
        <v>10</v>
      </c>
    </row>
    <row r="6" spans="1:11" x14ac:dyDescent="0.35">
      <c r="A6" s="9">
        <v>2</v>
      </c>
      <c r="B6" s="48" t="s">
        <v>11</v>
      </c>
      <c r="C6" s="55" t="s">
        <v>78</v>
      </c>
      <c r="D6" s="42" t="s">
        <v>13</v>
      </c>
      <c r="E6" s="48"/>
      <c r="F6" s="48"/>
      <c r="G6" s="48" t="s">
        <v>14</v>
      </c>
      <c r="H6" s="53">
        <f>C14*I6</f>
        <v>0</v>
      </c>
      <c r="I6" s="56">
        <f>VLOOKUP($C$6,'Data &amp; Sources'!$B$27:$E$29,4,FALSE)*VLOOKUP(VLOOKUP($C$5,Lookups!$B$4:$C$65,2,FALSE),'Data &amp; Sources'!$B$3:$Q$16,'Data &amp; Sources'!$Q$1,FALSE)</f>
        <v>268.17075000000006</v>
      </c>
      <c r="J6" s="54" t="e">
        <f>I6/$I$8</f>
        <v>#DIV/0!</v>
      </c>
      <c r="K6" s="21"/>
    </row>
    <row r="7" spans="1:11" x14ac:dyDescent="0.35">
      <c r="A7" s="9"/>
      <c r="B7" s="48"/>
      <c r="C7"/>
      <c r="D7" s="48"/>
      <c r="E7" s="48"/>
      <c r="F7" s="48"/>
      <c r="G7" s="48" t="s">
        <v>15</v>
      </c>
      <c r="H7" s="57">
        <v>0</v>
      </c>
      <c r="I7" s="56" t="e">
        <f>H7/C14</f>
        <v>#DIV/0!</v>
      </c>
      <c r="J7" s="54" t="e">
        <f>I7/$I$8</f>
        <v>#DIV/0!</v>
      </c>
      <c r="K7" s="42" t="s">
        <v>16</v>
      </c>
    </row>
    <row r="8" spans="1:11" x14ac:dyDescent="0.35">
      <c r="A8" s="9">
        <v>3</v>
      </c>
      <c r="B8" s="48" t="s">
        <v>17</v>
      </c>
      <c r="C8" s="55"/>
      <c r="D8" s="42" t="s">
        <v>18</v>
      </c>
      <c r="E8" s="48"/>
      <c r="F8" s="48"/>
      <c r="G8" s="29" t="s">
        <v>19</v>
      </c>
      <c r="H8" s="35">
        <f>SUM(H5:H7)</f>
        <v>0</v>
      </c>
      <c r="I8" s="36" t="e">
        <f>H8/C14</f>
        <v>#DIV/0!</v>
      </c>
      <c r="J8" s="32" t="e">
        <f>I8/$I$8</f>
        <v>#DIV/0!</v>
      </c>
      <c r="K8" s="48"/>
    </row>
    <row r="9" spans="1:11" x14ac:dyDescent="0.35">
      <c r="A9" s="9">
        <v>4</v>
      </c>
      <c r="B9" s="48" t="s">
        <v>20</v>
      </c>
      <c r="C9" s="58"/>
      <c r="D9" s="42" t="s">
        <v>21</v>
      </c>
      <c r="E9" s="48"/>
      <c r="F9" s="48"/>
      <c r="G9" s="48"/>
      <c r="H9" s="48"/>
      <c r="I9" s="48"/>
      <c r="J9" s="48"/>
      <c r="K9" s="48"/>
    </row>
    <row r="10" spans="1:11" x14ac:dyDescent="0.35">
      <c r="A10" s="9">
        <v>5</v>
      </c>
      <c r="B10" s="48" t="s">
        <v>22</v>
      </c>
      <c r="C10" s="59"/>
      <c r="D10" s="42" t="s">
        <v>21</v>
      </c>
      <c r="E10" s="48"/>
      <c r="F10" s="48"/>
      <c r="G10" s="33" t="s">
        <v>23</v>
      </c>
      <c r="H10" s="37" t="s">
        <v>3</v>
      </c>
      <c r="I10" s="34" t="s">
        <v>4</v>
      </c>
      <c r="J10" s="34" t="s">
        <v>5</v>
      </c>
      <c r="K10" s="48"/>
    </row>
    <row r="11" spans="1:11" x14ac:dyDescent="0.35">
      <c r="A11" s="9">
        <v>6</v>
      </c>
      <c r="B11" s="48" t="s">
        <v>24</v>
      </c>
      <c r="C11" s="55"/>
      <c r="D11" s="42" t="s">
        <v>25</v>
      </c>
      <c r="E11" s="48"/>
      <c r="F11" s="48"/>
      <c r="G11" s="48" t="s">
        <v>26</v>
      </c>
      <c r="H11" s="53">
        <f>MIN(-PV(C22,C23,C35/C24,,),C25*H33,C26*H8)</f>
        <v>0</v>
      </c>
      <c r="I11" s="53" t="e">
        <f>H11/$C$14</f>
        <v>#DIV/0!</v>
      </c>
      <c r="J11" s="54" t="e">
        <f>I11/$I$14</f>
        <v>#DIV/0!</v>
      </c>
      <c r="K11" s="48"/>
    </row>
    <row r="12" spans="1:11" x14ac:dyDescent="0.35">
      <c r="B12"/>
      <c r="C12"/>
      <c r="D12"/>
      <c r="E12" s="48"/>
      <c r="F12" s="48"/>
      <c r="G12" s="48" t="s">
        <v>27</v>
      </c>
      <c r="H12" s="53" t="e">
        <f>MIN(C37/C27,H8-H11)</f>
        <v>#NUM!</v>
      </c>
      <c r="I12" s="53" t="e">
        <f>H12/$C$14</f>
        <v>#NUM!</v>
      </c>
      <c r="J12" s="54" t="e">
        <f>I12/$I$14</f>
        <v>#NUM!</v>
      </c>
      <c r="K12" s="48"/>
    </row>
    <row r="13" spans="1:11" x14ac:dyDescent="0.35">
      <c r="B13" s="95" t="s">
        <v>179</v>
      </c>
      <c r="C13" s="60">
        <f>(C8*C9*C10)*43560</f>
        <v>0</v>
      </c>
      <c r="E13" s="48"/>
      <c r="F13" s="48"/>
      <c r="G13" s="48" t="s">
        <v>28</v>
      </c>
      <c r="H13" s="53" t="e">
        <f>H14-H11-H12</f>
        <v>#NUM!</v>
      </c>
      <c r="I13" s="53" t="e">
        <f>H13/$C$14</f>
        <v>#NUM!</v>
      </c>
      <c r="J13" s="54" t="e">
        <f>I13/$I$14</f>
        <v>#NUM!</v>
      </c>
      <c r="K13" s="48"/>
    </row>
    <row r="14" spans="1:11" x14ac:dyDescent="0.35">
      <c r="B14" s="95" t="s">
        <v>178</v>
      </c>
      <c r="C14" s="60">
        <f>(C8*C9)*C10*43560*C11</f>
        <v>0</v>
      </c>
      <c r="D14"/>
      <c r="E14" s="48"/>
      <c r="F14" s="48"/>
      <c r="G14" s="29" t="s">
        <v>29</v>
      </c>
      <c r="H14" s="35">
        <f>H8</f>
        <v>0</v>
      </c>
      <c r="I14" s="35" t="e">
        <f>H14/$C$14</f>
        <v>#DIV/0!</v>
      </c>
      <c r="J14" s="32" t="e">
        <f>I14/$I$14</f>
        <v>#DIV/0!</v>
      </c>
      <c r="K14" s="48"/>
    </row>
    <row r="15" spans="1:11" x14ac:dyDescent="0.35">
      <c r="B15" s="48"/>
      <c r="C15" s="48"/>
      <c r="D15"/>
      <c r="E15" s="48"/>
      <c r="F15" s="48"/>
      <c r="G15" s="48"/>
      <c r="H15" s="48"/>
      <c r="I15" s="62"/>
      <c r="J15" s="63"/>
      <c r="K15" s="48"/>
    </row>
    <row r="16" spans="1:11" x14ac:dyDescent="0.35">
      <c r="B16" s="33" t="s">
        <v>30</v>
      </c>
      <c r="C16" s="49"/>
      <c r="D16" s="61"/>
      <c r="E16" s="48"/>
      <c r="F16" s="48"/>
      <c r="G16" s="33" t="s">
        <v>180</v>
      </c>
      <c r="H16" s="64"/>
      <c r="I16" s="48"/>
      <c r="J16" s="48"/>
      <c r="K16" s="48"/>
    </row>
    <row r="17" spans="2:11" x14ac:dyDescent="0.35">
      <c r="B17" s="48" t="s">
        <v>32</v>
      </c>
      <c r="C17" s="65">
        <f>VLOOKUP(VLOOKUP($C$5,Lookups!$B$4:$C$65,2,FALSE),'Data &amp; Sources'!$B$3:$Q$16,VLOOKUP(Calculations!$C$6,Lookups!$G$4:$H$6,2,FALSE),FALSE)</f>
        <v>18</v>
      </c>
      <c r="D17" s="61"/>
      <c r="E17" s="48"/>
      <c r="F17" s="48"/>
      <c r="G17" s="48" t="s">
        <v>33</v>
      </c>
      <c r="H17" s="53">
        <f>H33</f>
        <v>0</v>
      </c>
      <c r="I17" s="48"/>
      <c r="J17" s="48"/>
      <c r="K17" s="48"/>
    </row>
    <row r="18" spans="2:11" x14ac:dyDescent="0.35">
      <c r="B18" s="48" t="s">
        <v>34</v>
      </c>
      <c r="C18" s="66">
        <f>VLOOKUP(VLOOKUP($C$5,Lookups!$B$4:$C$65,2,FALSE),'Data &amp; Sources'!$B$3:$Q$16,VLOOKUP(Calculations!$C$6,Lookups!$G$9:$H$11,2,FALSE),FALSE)</f>
        <v>3.52082066237926E-2</v>
      </c>
      <c r="D18" s="48"/>
      <c r="E18" s="48"/>
      <c r="F18" s="48"/>
      <c r="G18" s="48" t="s">
        <v>35</v>
      </c>
      <c r="H18" s="58">
        <v>0.95</v>
      </c>
      <c r="I18" s="42" t="s">
        <v>36</v>
      </c>
      <c r="J18" s="48"/>
      <c r="K18" s="48"/>
    </row>
    <row r="19" spans="2:11" x14ac:dyDescent="0.35">
      <c r="B19" s="48" t="s">
        <v>37</v>
      </c>
      <c r="C19" s="67">
        <f>VLOOKUP(VLOOKUP($C$5,Lookups!$B$4:$C$65,2,FALSE),'Data &amp; Sources'!$B$3:$Q$16,VLOOKUP(Calculations!$C$6,Lookups!$G$14:$H$16,2,FALSE),FALSE)</f>
        <v>6.3152156770229298E-2</v>
      </c>
      <c r="D19" s="48"/>
      <c r="E19" s="48"/>
      <c r="F19" s="48"/>
      <c r="G19" s="48" t="s">
        <v>38</v>
      </c>
      <c r="H19" s="53">
        <f>H17*H18</f>
        <v>0</v>
      </c>
      <c r="I19" s="48"/>
      <c r="J19" s="48"/>
      <c r="K19" s="48"/>
    </row>
    <row r="20" spans="2:11" x14ac:dyDescent="0.35">
      <c r="D20" s="48"/>
      <c r="E20" s="48"/>
      <c r="F20" s="48"/>
      <c r="G20" s="48"/>
      <c r="H20" s="48"/>
      <c r="I20" s="48"/>
      <c r="J20" s="61"/>
      <c r="K20" s="48"/>
    </row>
    <row r="21" spans="2:11" x14ac:dyDescent="0.35">
      <c r="B21" s="33" t="s">
        <v>39</v>
      </c>
      <c r="C21" s="49"/>
      <c r="D21" s="61"/>
      <c r="E21" s="48"/>
      <c r="F21" s="48"/>
      <c r="G21" s="121" t="s">
        <v>31</v>
      </c>
      <c r="H21" s="121"/>
      <c r="I21" s="121"/>
      <c r="J21" s="121"/>
    </row>
    <row r="22" spans="2:11" ht="14.25" customHeight="1" x14ac:dyDescent="0.35">
      <c r="B22" s="48" t="s">
        <v>43</v>
      </c>
      <c r="C22" s="68"/>
      <c r="D22" s="43" t="s">
        <v>21</v>
      </c>
      <c r="E22" s="48"/>
      <c r="F22" s="48"/>
      <c r="G22" s="33" t="s">
        <v>40</v>
      </c>
      <c r="H22" s="41" t="s">
        <v>41</v>
      </c>
      <c r="I22" s="119" t="s">
        <v>42</v>
      </c>
      <c r="J22" s="119"/>
      <c r="K22" s="48"/>
    </row>
    <row r="23" spans="2:11" x14ac:dyDescent="0.35">
      <c r="B23" s="48" t="s">
        <v>45</v>
      </c>
      <c r="C23" s="69"/>
      <c r="D23" s="43" t="s">
        <v>46</v>
      </c>
      <c r="E23" s="48"/>
      <c r="F23" s="48"/>
      <c r="G23" s="48" t="s">
        <v>6</v>
      </c>
      <c r="H23" s="51"/>
      <c r="I23" s="122">
        <f>$H$19*H23/1000</f>
        <v>0</v>
      </c>
      <c r="J23" s="123"/>
      <c r="K23" s="111" t="s">
        <v>44</v>
      </c>
    </row>
    <row r="24" spans="2:11" x14ac:dyDescent="0.35">
      <c r="B24" s="48" t="s">
        <v>48</v>
      </c>
      <c r="C24" s="91">
        <v>1.25</v>
      </c>
      <c r="D24" s="43"/>
      <c r="E24" s="48"/>
      <c r="F24" s="48"/>
      <c r="G24" s="48" t="s">
        <v>47</v>
      </c>
      <c r="H24" s="55"/>
      <c r="I24" s="124">
        <f>$H$19*H24/1000</f>
        <v>0</v>
      </c>
      <c r="J24" s="125"/>
      <c r="K24" s="111"/>
    </row>
    <row r="25" spans="2:11" x14ac:dyDescent="0.35">
      <c r="B25" s="85" t="s">
        <v>175</v>
      </c>
      <c r="C25" s="92">
        <v>0.7</v>
      </c>
      <c r="D25" s="43"/>
      <c r="E25" s="48"/>
      <c r="F25" s="48"/>
      <c r="G25" s="48" t="s">
        <v>49</v>
      </c>
      <c r="H25" s="55"/>
      <c r="I25" s="124">
        <f>$H$19*H25/1000</f>
        <v>0</v>
      </c>
      <c r="J25" s="125"/>
      <c r="K25" s="111"/>
    </row>
    <row r="26" spans="2:11" x14ac:dyDescent="0.35">
      <c r="B26" s="85" t="s">
        <v>176</v>
      </c>
      <c r="C26" s="93">
        <v>0.8</v>
      </c>
      <c r="D26" s="43"/>
      <c r="E26" s="48"/>
      <c r="F26" s="48"/>
      <c r="G26" s="48" t="s">
        <v>52</v>
      </c>
      <c r="H26" s="55"/>
      <c r="I26" s="124">
        <f>$H$19*H26/1000</f>
        <v>0</v>
      </c>
      <c r="J26" s="125"/>
      <c r="K26" s="111"/>
    </row>
    <row r="27" spans="2:11" x14ac:dyDescent="0.35">
      <c r="B27" s="48" t="s">
        <v>50</v>
      </c>
      <c r="C27" s="70"/>
      <c r="D27" s="43" t="s">
        <v>51</v>
      </c>
      <c r="E27" s="48"/>
      <c r="F27" s="48"/>
      <c r="G27" s="49" t="s">
        <v>53</v>
      </c>
      <c r="H27" s="71"/>
      <c r="I27" s="112">
        <f>$H$19*H27/1000</f>
        <v>0</v>
      </c>
      <c r="J27" s="113"/>
      <c r="K27" s="111"/>
    </row>
    <row r="28" spans="2:11" x14ac:dyDescent="0.35">
      <c r="B28" s="48"/>
      <c r="C28" s="48"/>
      <c r="D28" s="61"/>
      <c r="E28" s="48"/>
      <c r="F28" s="48"/>
      <c r="G28" s="9" t="s">
        <v>55</v>
      </c>
      <c r="H28" s="96">
        <f>SUM(H23:H27)</f>
        <v>0</v>
      </c>
      <c r="I28" s="120">
        <f>SUM(I23:I27)</f>
        <v>0</v>
      </c>
      <c r="J28" s="120"/>
      <c r="K28" s="48"/>
    </row>
    <row r="29" spans="2:11" ht="15.6" thickBot="1" x14ac:dyDescent="0.4">
      <c r="B29" s="33" t="s">
        <v>54</v>
      </c>
      <c r="C29" s="39" t="s">
        <v>3</v>
      </c>
      <c r="D29" s="38" t="s">
        <v>4</v>
      </c>
      <c r="E29" s="48"/>
      <c r="F29" s="48"/>
      <c r="G29" s="48"/>
      <c r="H29" s="48"/>
      <c r="I29" s="48"/>
      <c r="J29" s="48"/>
      <c r="K29" s="48"/>
    </row>
    <row r="30" spans="2:11" ht="18" customHeight="1" thickTop="1" x14ac:dyDescent="0.45">
      <c r="B30" s="48" t="s">
        <v>56</v>
      </c>
      <c r="C30" s="72">
        <f>C17*$C$14</f>
        <v>0</v>
      </c>
      <c r="D30" s="62" t="e">
        <f>C30/C14</f>
        <v>#DIV/0!</v>
      </c>
      <c r="E30" s="48"/>
      <c r="F30" s="48"/>
      <c r="G30" s="116" t="s">
        <v>59</v>
      </c>
      <c r="H30" s="117"/>
      <c r="I30" s="118"/>
      <c r="J30" s="48"/>
      <c r="K30" s="48"/>
    </row>
    <row r="31" spans="2:11" x14ac:dyDescent="0.35">
      <c r="B31" s="48" t="s">
        <v>57</v>
      </c>
      <c r="C31" s="72">
        <f>D31*$C$14</f>
        <v>0</v>
      </c>
      <c r="D31" s="62">
        <f>-C18*C17</f>
        <v>-0.63374771922826678</v>
      </c>
      <c r="E31" s="48"/>
      <c r="F31" s="48"/>
      <c r="G31" s="45" t="s">
        <v>61</v>
      </c>
      <c r="H31" s="47" t="s">
        <v>3</v>
      </c>
      <c r="I31" s="46" t="s">
        <v>62</v>
      </c>
      <c r="J31" s="48"/>
      <c r="K31" s="48"/>
    </row>
    <row r="32" spans="2:11" x14ac:dyDescent="0.35">
      <c r="B32" s="73" t="s">
        <v>58</v>
      </c>
      <c r="C32" s="74">
        <f>D32*$C$14</f>
        <v>0</v>
      </c>
      <c r="D32" s="75">
        <f>C17*_xlfn.XLOOKUP($C$6,'Data &amp; Sources'!$C$19:$E$19,'Data &amp; Sources'!$C$20:$E$20)</f>
        <v>4.9930651872399444E-2</v>
      </c>
      <c r="E32" s="48"/>
      <c r="F32" s="48"/>
      <c r="G32" s="77" t="s">
        <v>19</v>
      </c>
      <c r="H32" s="78">
        <f>H8</f>
        <v>0</v>
      </c>
      <c r="I32" s="79" t="e">
        <f>H32/$C$14</f>
        <v>#DIV/0!</v>
      </c>
      <c r="J32" s="48"/>
      <c r="K32" s="48"/>
    </row>
    <row r="33" spans="2:9" x14ac:dyDescent="0.35">
      <c r="B33" s="29" t="s">
        <v>60</v>
      </c>
      <c r="C33" s="40">
        <f>D33*$C$14</f>
        <v>0</v>
      </c>
      <c r="D33" s="30">
        <f>C17*(1-C18)+D32</f>
        <v>17.416182932644134</v>
      </c>
      <c r="E33" s="48"/>
      <c r="F33" s="48"/>
      <c r="G33" s="77" t="s">
        <v>65</v>
      </c>
      <c r="H33" s="78">
        <f>C35/C19</f>
        <v>0</v>
      </c>
      <c r="I33" s="79" t="e">
        <f>H33/$C$14</f>
        <v>#DIV/0!</v>
      </c>
    </row>
    <row r="34" spans="2:9" x14ac:dyDescent="0.35">
      <c r="B34" s="48" t="s">
        <v>63</v>
      </c>
      <c r="C34" s="72">
        <f>D34*$C$14</f>
        <v>0</v>
      </c>
      <c r="D34" s="76">
        <f>-D33*_xlfn.XLOOKUP($C$6,'Data &amp; Sources'!$C$19:$E$19,'Data &amp; Sources'!$C$21:$E$21)</f>
        <v>-6.8117190348360523</v>
      </c>
      <c r="E34" s="48"/>
      <c r="F34" s="48"/>
      <c r="G34" s="77" t="s">
        <v>66</v>
      </c>
      <c r="H34" s="78" t="e">
        <f>H13</f>
        <v>#NUM!</v>
      </c>
      <c r="I34" s="79" t="e">
        <f>H34/$C$14</f>
        <v>#NUM!</v>
      </c>
    </row>
    <row r="35" spans="2:9" ht="15.6" thickBot="1" x14ac:dyDescent="0.4">
      <c r="B35" s="29" t="s">
        <v>64</v>
      </c>
      <c r="C35" s="40">
        <f>D35*$C$14</f>
        <v>0</v>
      </c>
      <c r="D35" s="31">
        <f>C17+D32+D34</f>
        <v>11.238211617036349</v>
      </c>
      <c r="E35" s="48"/>
      <c r="F35" s="48"/>
      <c r="G35" s="80" t="s">
        <v>67</v>
      </c>
      <c r="H35" s="81">
        <f>I28</f>
        <v>0</v>
      </c>
      <c r="I35" s="82" t="e">
        <f>H35/$C$14</f>
        <v>#DIV/0!</v>
      </c>
    </row>
    <row r="36" spans="2:9" ht="15.6" thickTop="1" x14ac:dyDescent="0.35">
      <c r="B36" s="85" t="s">
        <v>174</v>
      </c>
      <c r="C36" s="72" t="e">
        <f>MAX(PMT(C22,C23,H11),-C35/C24)</f>
        <v>#NUM!</v>
      </c>
      <c r="D36" s="76" t="e">
        <f>C36/C14</f>
        <v>#NUM!</v>
      </c>
      <c r="E36" s="48"/>
      <c r="F36" s="48"/>
      <c r="G36" s="48"/>
      <c r="H36" s="48"/>
      <c r="I36" s="48"/>
    </row>
    <row r="37" spans="2:9" x14ac:dyDescent="0.35">
      <c r="B37" s="29" t="s">
        <v>173</v>
      </c>
      <c r="C37" s="87" t="e">
        <f>C35+C36</f>
        <v>#NUM!</v>
      </c>
      <c r="D37" s="88" t="e">
        <f>D35+D36</f>
        <v>#NUM!</v>
      </c>
      <c r="E37"/>
      <c r="F37" s="48"/>
      <c r="G37" s="48"/>
      <c r="H37" s="48"/>
      <c r="I37" s="48"/>
    </row>
    <row r="38" spans="2:9" x14ac:dyDescent="0.35">
      <c r="C38" s="86"/>
      <c r="D38" s="90"/>
    </row>
    <row r="39" spans="2:9" x14ac:dyDescent="0.35">
      <c r="C39" s="86"/>
      <c r="D39" s="90"/>
    </row>
    <row r="40" spans="2:9" x14ac:dyDescent="0.35">
      <c r="C40" s="89"/>
    </row>
    <row r="71" spans="2:6" x14ac:dyDescent="0.35">
      <c r="B71" s="48"/>
      <c r="C71" s="61"/>
      <c r="D71" s="48"/>
      <c r="E71" s="48"/>
      <c r="F71" s="48"/>
    </row>
    <row r="72" spans="2:6" x14ac:dyDescent="0.35">
      <c r="B72" s="48"/>
      <c r="C72" s="48"/>
      <c r="D72" s="83"/>
      <c r="E72" s="48"/>
      <c r="F72" s="48"/>
    </row>
    <row r="73" spans="2:6" x14ac:dyDescent="0.35">
      <c r="B73"/>
      <c r="C73"/>
      <c r="D73"/>
      <c r="E73" s="48"/>
      <c r="F73" s="48"/>
    </row>
    <row r="74" spans="2:6" x14ac:dyDescent="0.35">
      <c r="B74"/>
      <c r="C74"/>
      <c r="D74"/>
      <c r="E74"/>
      <c r="F74"/>
    </row>
    <row r="75" spans="2:6" x14ac:dyDescent="0.35">
      <c r="B75"/>
      <c r="C75"/>
      <c r="D75"/>
      <c r="E75"/>
      <c r="F75"/>
    </row>
    <row r="76" spans="2:6" x14ac:dyDescent="0.35">
      <c r="B76"/>
      <c r="C76"/>
      <c r="D76"/>
      <c r="E76"/>
      <c r="F76"/>
    </row>
    <row r="77" spans="2:6" x14ac:dyDescent="0.35">
      <c r="B77"/>
      <c r="C77"/>
      <c r="D77"/>
      <c r="E77"/>
      <c r="F77"/>
    </row>
    <row r="78" spans="2:6" x14ac:dyDescent="0.35">
      <c r="B78"/>
      <c r="C78"/>
      <c r="D78"/>
      <c r="E78"/>
      <c r="F78"/>
    </row>
    <row r="79" spans="2:6" x14ac:dyDescent="0.35">
      <c r="B79" s="48"/>
      <c r="C79" s="48"/>
      <c r="D79" s="48"/>
      <c r="E79"/>
      <c r="F79"/>
    </row>
    <row r="81" spans="2:5" x14ac:dyDescent="0.35">
      <c r="B81" s="21" t="s">
        <v>68</v>
      </c>
      <c r="C81" s="25" t="e">
        <f>(H33/H8)-1</f>
        <v>#DIV/0!</v>
      </c>
      <c r="D81" s="21"/>
      <c r="E81" s="48"/>
    </row>
    <row r="82" spans="2:5" x14ac:dyDescent="0.35">
      <c r="B82" s="21" t="s">
        <v>69</v>
      </c>
      <c r="C82" s="27">
        <v>0.2</v>
      </c>
      <c r="D82" s="21"/>
      <c r="E82" s="26"/>
    </row>
    <row r="83" spans="2:5" x14ac:dyDescent="0.35">
      <c r="B83" s="21" t="s">
        <v>66</v>
      </c>
      <c r="C83" s="21"/>
      <c r="D83" s="28" t="e">
        <f>E84/C14</f>
        <v>#DIV/0!</v>
      </c>
      <c r="E83" s="26"/>
    </row>
    <row r="84" spans="2:5" x14ac:dyDescent="0.35">
      <c r="B84" s="48"/>
      <c r="C84" s="48"/>
      <c r="D84" s="48"/>
      <c r="E84" s="26">
        <f>H8-(H33/(1+C82))</f>
        <v>0</v>
      </c>
    </row>
  </sheetData>
  <mergeCells count="12">
    <mergeCell ref="K23:K27"/>
    <mergeCell ref="I27:J27"/>
    <mergeCell ref="B1:G1"/>
    <mergeCell ref="B2:G2"/>
    <mergeCell ref="G30:I30"/>
    <mergeCell ref="I22:J22"/>
    <mergeCell ref="I28:J28"/>
    <mergeCell ref="G21:J21"/>
    <mergeCell ref="I23:J23"/>
    <mergeCell ref="I24:J24"/>
    <mergeCell ref="I25:J25"/>
    <mergeCell ref="I26:J26"/>
  </mergeCells>
  <dataValidations count="1">
    <dataValidation type="list" allowBlank="1" showInputMessage="1" showErrorMessage="1" sqref="C7" xr:uid="{47468947-3D43-4F92-9E08-251C1BB34771}">
      <formula1>#REF!</formula1>
    </dataValidation>
  </dataValidation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BE8CAC3-1750-454C-A40F-856041AD89FD}">
          <x14:formula1>
            <xm:f>Lookups!$B$4:$B$65</xm:f>
          </x14:formula1>
          <xm:sqref>C5</xm:sqref>
        </x14:dataValidation>
        <x14:dataValidation type="list" allowBlank="1" showInputMessage="1" showErrorMessage="1" xr:uid="{6EEAFACA-94AA-4805-8E49-97EE23278E2D}">
          <x14:formula1>
            <xm:f>Lookups!$E$4:$E$6</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444FB-0CBF-448B-9D23-395BCF83554C}">
  <dimension ref="A1:Q30"/>
  <sheetViews>
    <sheetView workbookViewId="0">
      <pane xSplit="2" topLeftCell="C1" activePane="topRight" state="frozen"/>
      <selection pane="topRight" activeCell="B18" sqref="B18"/>
    </sheetView>
  </sheetViews>
  <sheetFormatPr defaultRowHeight="14.4" x14ac:dyDescent="0.3"/>
  <cols>
    <col min="2" max="2" width="28" bestFit="1" customWidth="1"/>
    <col min="3" max="3" width="10" bestFit="1" customWidth="1"/>
    <col min="4" max="4" width="12" bestFit="1" customWidth="1"/>
    <col min="5" max="5" width="12.44140625" bestFit="1" customWidth="1"/>
    <col min="6" max="6" width="14.44140625" bestFit="1" customWidth="1"/>
    <col min="7" max="7" width="14.88671875" bestFit="1" customWidth="1"/>
    <col min="8" max="10" width="16.109375" customWidth="1"/>
    <col min="11" max="12" width="11.44140625" bestFit="1" customWidth="1"/>
    <col min="13" max="13" width="12.44140625" bestFit="1" customWidth="1"/>
    <col min="14" max="14" width="8.109375" bestFit="1" customWidth="1"/>
    <col min="15" max="15" width="10.33203125" customWidth="1"/>
    <col min="16" max="16" width="12.5546875" customWidth="1"/>
    <col min="17" max="17" width="13.33203125" style="4" customWidth="1"/>
  </cols>
  <sheetData>
    <row r="1" spans="2:17" x14ac:dyDescent="0.3">
      <c r="B1" s="20">
        <v>1</v>
      </c>
      <c r="C1" s="20">
        <v>2</v>
      </c>
      <c r="D1" s="20">
        <v>3</v>
      </c>
      <c r="E1" s="20">
        <v>4</v>
      </c>
      <c r="F1" s="20">
        <v>5</v>
      </c>
      <c r="G1" s="20">
        <v>6</v>
      </c>
      <c r="H1" s="20">
        <v>7</v>
      </c>
      <c r="I1" s="20">
        <v>8</v>
      </c>
      <c r="J1" s="20">
        <v>9</v>
      </c>
      <c r="K1" s="20">
        <v>10</v>
      </c>
      <c r="L1" s="20">
        <v>11</v>
      </c>
      <c r="M1" s="20">
        <v>12</v>
      </c>
      <c r="N1" s="20">
        <v>13</v>
      </c>
      <c r="O1" s="20">
        <v>14</v>
      </c>
      <c r="P1" s="20">
        <v>15</v>
      </c>
      <c r="Q1" s="20">
        <v>16</v>
      </c>
    </row>
    <row r="2" spans="2:17" s="6" customFormat="1" ht="57.6" x14ac:dyDescent="0.3">
      <c r="B2" s="5" t="s">
        <v>71</v>
      </c>
      <c r="C2" s="10" t="s">
        <v>152</v>
      </c>
      <c r="D2" s="10" t="s">
        <v>153</v>
      </c>
      <c r="E2" s="10" t="s">
        <v>154</v>
      </c>
      <c r="F2" s="10" t="s">
        <v>155</v>
      </c>
      <c r="G2" s="10" t="s">
        <v>156</v>
      </c>
      <c r="H2" s="10" t="s">
        <v>157</v>
      </c>
      <c r="I2" s="10" t="s">
        <v>158</v>
      </c>
      <c r="J2" s="11" t="s">
        <v>159</v>
      </c>
      <c r="K2" s="10" t="s">
        <v>160</v>
      </c>
      <c r="L2" s="10" t="s">
        <v>161</v>
      </c>
      <c r="M2" s="10" t="s">
        <v>162</v>
      </c>
      <c r="N2" s="10" t="s">
        <v>163</v>
      </c>
      <c r="O2" s="10" t="s">
        <v>164</v>
      </c>
      <c r="P2" s="10" t="s">
        <v>165</v>
      </c>
      <c r="Q2" s="12" t="s">
        <v>166</v>
      </c>
    </row>
    <row r="3" spans="2:17" x14ac:dyDescent="0.3">
      <c r="B3" t="s">
        <v>74</v>
      </c>
      <c r="C3" s="14">
        <v>9.6137516200542505E-2</v>
      </c>
      <c r="D3" s="14">
        <v>7.3938421905040699E-2</v>
      </c>
      <c r="E3" s="13">
        <v>6.3152156770229298E-2</v>
      </c>
      <c r="F3" s="15">
        <v>18.28</v>
      </c>
      <c r="G3" s="15">
        <v>8.5299999999999994</v>
      </c>
      <c r="H3" s="15">
        <v>1.5</v>
      </c>
      <c r="I3" s="15">
        <f>H3*12</f>
        <v>18</v>
      </c>
      <c r="J3" s="16">
        <v>1457.68615722656</v>
      </c>
      <c r="K3" s="16">
        <v>168.34</v>
      </c>
      <c r="L3" s="16">
        <v>105.97</v>
      </c>
      <c r="M3" s="16">
        <v>209707.90539999999</v>
      </c>
      <c r="N3" s="3">
        <v>5.47515265643597E-2</v>
      </c>
      <c r="O3" s="13">
        <v>1.6303200274705901E-2</v>
      </c>
      <c r="P3" s="14">
        <v>3.52082066237926E-2</v>
      </c>
      <c r="Q3" s="17">
        <v>1.02</v>
      </c>
    </row>
    <row r="4" spans="2:17" x14ac:dyDescent="0.3">
      <c r="B4" t="s">
        <v>87</v>
      </c>
      <c r="C4" s="14">
        <v>8.6049340665340396E-2</v>
      </c>
      <c r="D4" s="14">
        <v>7.1694180369377095E-2</v>
      </c>
      <c r="E4" s="13">
        <v>7.8248143196105999E-2</v>
      </c>
      <c r="F4" s="15">
        <v>16.14</v>
      </c>
      <c r="G4" s="15">
        <v>7.29</v>
      </c>
      <c r="H4" s="15">
        <v>1.1200000000000001</v>
      </c>
      <c r="I4" s="15">
        <f t="shared" ref="I4:I16" si="0">H4*12</f>
        <v>13.440000000000001</v>
      </c>
      <c r="J4" s="16">
        <v>913.82556152343795</v>
      </c>
      <c r="K4" s="16">
        <v>309.16000000000003</v>
      </c>
      <c r="L4" s="16">
        <v>89.58</v>
      </c>
      <c r="M4" s="16">
        <v>129421.97470000001</v>
      </c>
      <c r="N4" s="3">
        <v>0.12482397258281699</v>
      </c>
      <c r="O4" s="13">
        <v>2.6570845395326601E-2</v>
      </c>
      <c r="P4" s="14">
        <v>3.1672116369008997E-2</v>
      </c>
      <c r="Q4" s="17">
        <v>0.98</v>
      </c>
    </row>
    <row r="5" spans="2:17" x14ac:dyDescent="0.3">
      <c r="B5" t="s">
        <v>95</v>
      </c>
      <c r="C5" s="14">
        <v>8.93275141716003E-2</v>
      </c>
      <c r="D5" s="14">
        <v>7.69694149494171E-2</v>
      </c>
      <c r="E5" s="13">
        <v>6.2782585620880099E-2</v>
      </c>
      <c r="F5" s="15">
        <v>18.28</v>
      </c>
      <c r="G5" s="15">
        <v>7.59</v>
      </c>
      <c r="H5" s="15">
        <v>1.32</v>
      </c>
      <c r="I5" s="15">
        <f t="shared" si="0"/>
        <v>15.84</v>
      </c>
      <c r="J5" s="16">
        <v>1137.32202148438</v>
      </c>
      <c r="K5" s="16">
        <v>150.19</v>
      </c>
      <c r="L5" s="16">
        <v>56.62</v>
      </c>
      <c r="M5" s="16">
        <v>126045.3316</v>
      </c>
      <c r="N5" s="3">
        <v>7.73952752351761E-2</v>
      </c>
      <c r="O5" s="13">
        <v>4.0843326598405803E-2</v>
      </c>
      <c r="P5" s="14">
        <v>2.9833486303687099E-2</v>
      </c>
      <c r="Q5" s="17">
        <v>1.04</v>
      </c>
    </row>
    <row r="6" spans="2:17" x14ac:dyDescent="0.3">
      <c r="B6" t="s">
        <v>101</v>
      </c>
      <c r="C6" s="14">
        <v>9.5854766666889205E-2</v>
      </c>
      <c r="D6" s="14">
        <v>6.7755065858364105E-2</v>
      </c>
      <c r="E6" s="13">
        <v>6.2234800308942802E-2</v>
      </c>
      <c r="F6" s="15">
        <v>18.329999999999998</v>
      </c>
      <c r="G6" s="15">
        <v>5.8</v>
      </c>
      <c r="H6" s="15">
        <v>1.31</v>
      </c>
      <c r="I6" s="15">
        <f t="shared" si="0"/>
        <v>15.72</v>
      </c>
      <c r="J6" s="16">
        <v>1170.49658203125</v>
      </c>
      <c r="K6" s="16">
        <v>151.79</v>
      </c>
      <c r="L6" s="16">
        <v>136.47</v>
      </c>
      <c r="M6" s="16">
        <v>192651.07370000001</v>
      </c>
      <c r="N6" s="3">
        <v>6.8224117159843403E-2</v>
      </c>
      <c r="O6" s="13">
        <v>2.3847321048378899E-2</v>
      </c>
      <c r="P6" s="14">
        <v>1.3158942572772499E-2</v>
      </c>
      <c r="Q6" s="17">
        <v>0.97</v>
      </c>
    </row>
    <row r="7" spans="2:17" x14ac:dyDescent="0.3">
      <c r="B7" t="s">
        <v>106</v>
      </c>
      <c r="C7" s="14">
        <v>9.29394885897636E-2</v>
      </c>
      <c r="D7" s="14">
        <v>7.2722285985946697E-2</v>
      </c>
      <c r="E7" s="13">
        <v>6.3846766948700007E-2</v>
      </c>
      <c r="F7" s="15">
        <v>16.38</v>
      </c>
      <c r="G7" s="15">
        <v>8.5399999999999991</v>
      </c>
      <c r="H7" s="15">
        <v>1.08</v>
      </c>
      <c r="I7" s="15">
        <f t="shared" si="0"/>
        <v>12.96</v>
      </c>
      <c r="J7" s="16">
        <v>1154.86291503906</v>
      </c>
      <c r="K7" s="16">
        <v>160.29</v>
      </c>
      <c r="L7" s="16">
        <v>104.27</v>
      </c>
      <c r="M7" s="16">
        <v>234535.5128</v>
      </c>
      <c r="N7" s="3">
        <v>5.9711717069149003E-2</v>
      </c>
      <c r="O7" s="13">
        <v>3.8034322205930901E-3</v>
      </c>
      <c r="P7" s="14">
        <v>1.38272028416395E-2</v>
      </c>
      <c r="Q7" s="17">
        <v>0.95</v>
      </c>
    </row>
    <row r="8" spans="2:17" x14ac:dyDescent="0.3">
      <c r="B8" t="s">
        <v>113</v>
      </c>
      <c r="C8" s="14">
        <v>8.7570101022720295E-2</v>
      </c>
      <c r="D8" s="14">
        <v>6.8368636071682004E-2</v>
      </c>
      <c r="E8" s="13">
        <v>5.85331656038761E-2</v>
      </c>
      <c r="F8" s="15">
        <v>22.34</v>
      </c>
      <c r="G8" s="15">
        <v>11.54</v>
      </c>
      <c r="H8" s="15">
        <v>2.13</v>
      </c>
      <c r="I8" s="15">
        <f t="shared" si="0"/>
        <v>25.56</v>
      </c>
      <c r="J8" s="16">
        <v>1815.90710449219</v>
      </c>
      <c r="K8" s="16">
        <v>289.36</v>
      </c>
      <c r="L8" s="16">
        <v>145.74</v>
      </c>
      <c r="M8" s="16">
        <v>307728.36820000003</v>
      </c>
      <c r="N8" s="3">
        <v>2.1526502445340202E-2</v>
      </c>
      <c r="O8" s="13">
        <v>1.7451835796236999E-2</v>
      </c>
      <c r="P8" s="14">
        <v>7.6844580471515697E-2</v>
      </c>
      <c r="Q8" s="17">
        <v>0.99</v>
      </c>
    </row>
    <row r="9" spans="2:17" x14ac:dyDescent="0.3">
      <c r="B9" t="s">
        <v>115</v>
      </c>
      <c r="C9" s="14">
        <v>9.0332753956317902E-2</v>
      </c>
      <c r="D9" s="14">
        <v>8.1481903791427598E-2</v>
      </c>
      <c r="E9" s="13">
        <v>6.0212571173906299E-2</v>
      </c>
      <c r="F9" s="15">
        <v>19.43</v>
      </c>
      <c r="G9" s="15">
        <v>9.36</v>
      </c>
      <c r="H9" s="15">
        <v>1.87</v>
      </c>
      <c r="I9" s="15">
        <f t="shared" si="0"/>
        <v>22.44</v>
      </c>
      <c r="J9" s="16">
        <v>1506.28771972656</v>
      </c>
      <c r="K9" s="16">
        <v>166.31</v>
      </c>
      <c r="L9" s="16">
        <v>93.65</v>
      </c>
      <c r="M9" s="16">
        <v>147014.66329999999</v>
      </c>
      <c r="N9" s="3">
        <v>6.9322302937507602E-2</v>
      </c>
      <c r="O9" s="13">
        <v>4.2051639407873202E-2</v>
      </c>
      <c r="P9" s="14">
        <v>2.4453824386000599E-2</v>
      </c>
      <c r="Q9" s="17">
        <v>1.1000000000000001</v>
      </c>
    </row>
    <row r="10" spans="2:17" x14ac:dyDescent="0.3">
      <c r="B10" t="s">
        <v>118</v>
      </c>
      <c r="C10" s="14">
        <v>7.9275950789451599E-2</v>
      </c>
      <c r="D10" s="14">
        <v>6.8080924451351194E-2</v>
      </c>
      <c r="E10" s="13">
        <v>4.3360222131013898E-2</v>
      </c>
      <c r="F10" s="15">
        <v>30.18</v>
      </c>
      <c r="G10" s="15">
        <v>17.559999999999999</v>
      </c>
      <c r="H10" s="15">
        <v>3.07</v>
      </c>
      <c r="I10" s="15">
        <f t="shared" si="0"/>
        <v>36.839999999999996</v>
      </c>
      <c r="J10" s="16">
        <v>2739.17333984375</v>
      </c>
      <c r="K10" s="16">
        <v>201.29</v>
      </c>
      <c r="L10" s="16">
        <v>206.75</v>
      </c>
      <c r="M10" s="16">
        <v>386312.83649999998</v>
      </c>
      <c r="N10" s="3">
        <v>7.7795520424842807E-2</v>
      </c>
      <c r="O10" s="13">
        <v>3.9421353489160503E-2</v>
      </c>
      <c r="P10" s="14">
        <v>3.1875856220722198E-2</v>
      </c>
      <c r="Q10" s="17">
        <v>1.21</v>
      </c>
    </row>
    <row r="11" spans="2:17" x14ac:dyDescent="0.3">
      <c r="B11" t="s">
        <v>121</v>
      </c>
      <c r="C11" s="14">
        <v>5.3555391728878E-2</v>
      </c>
      <c r="D11" s="14">
        <v>4.9902033060789101E-2</v>
      </c>
      <c r="E11" s="13">
        <v>4.2688790708780303E-2</v>
      </c>
      <c r="F11" s="15">
        <v>57.01</v>
      </c>
      <c r="G11" s="15">
        <v>18.16</v>
      </c>
      <c r="H11" s="15">
        <v>3.83</v>
      </c>
      <c r="I11" s="15">
        <f t="shared" si="0"/>
        <v>45.96</v>
      </c>
      <c r="J11" s="16">
        <v>2992.45434570313</v>
      </c>
      <c r="K11" s="16">
        <v>681.25</v>
      </c>
      <c r="L11" s="16">
        <v>281.33</v>
      </c>
      <c r="M11" s="16">
        <v>449381.70189999999</v>
      </c>
      <c r="N11" s="3">
        <v>0.12695571780204801</v>
      </c>
      <c r="O11" s="13">
        <v>3.7376821041107199E-2</v>
      </c>
      <c r="P11" s="14">
        <v>2.3679720237851101E-2</v>
      </c>
      <c r="Q11" s="17">
        <v>1.22</v>
      </c>
    </row>
    <row r="12" spans="2:17" x14ac:dyDescent="0.3">
      <c r="B12" t="s">
        <v>129</v>
      </c>
      <c r="C12" s="14">
        <v>9.1884605586528806E-2</v>
      </c>
      <c r="D12" s="14">
        <v>7.2448700666427598E-2</v>
      </c>
      <c r="E12" s="13">
        <v>5.6215286254882799E-2</v>
      </c>
      <c r="F12" s="15">
        <v>23.91</v>
      </c>
      <c r="G12" s="15">
        <v>12.03</v>
      </c>
      <c r="H12" s="15">
        <v>1.93</v>
      </c>
      <c r="I12" s="15">
        <f t="shared" si="0"/>
        <v>23.16</v>
      </c>
      <c r="J12" s="16">
        <v>1748.40856933594</v>
      </c>
      <c r="K12" s="16">
        <v>185.18</v>
      </c>
      <c r="L12" s="16">
        <v>129.86000000000001</v>
      </c>
      <c r="M12" s="16">
        <v>191062.0863</v>
      </c>
      <c r="N12" s="3">
        <v>5.8030258864164401E-2</v>
      </c>
      <c r="O12" s="13">
        <v>3.2928194850683198E-2</v>
      </c>
      <c r="P12" s="14">
        <v>2.08226647228003E-2</v>
      </c>
      <c r="Q12" s="17">
        <v>1.1100000000000001</v>
      </c>
    </row>
    <row r="13" spans="2:17" x14ac:dyDescent="0.3">
      <c r="B13" t="s">
        <v>132</v>
      </c>
      <c r="C13" s="14">
        <v>9.3537881970405606E-2</v>
      </c>
      <c r="D13" s="14">
        <v>7.4196942150592804E-2</v>
      </c>
      <c r="E13" s="13">
        <v>6.7714378237724304E-2</v>
      </c>
      <c r="F13" s="15">
        <v>16.75</v>
      </c>
      <c r="G13" s="15">
        <v>7.66</v>
      </c>
      <c r="H13" s="15">
        <v>1.38</v>
      </c>
      <c r="I13" s="15">
        <f t="shared" si="0"/>
        <v>16.559999999999999</v>
      </c>
      <c r="J13" s="16">
        <v>1265.43041992188</v>
      </c>
      <c r="K13" s="16">
        <v>196.99</v>
      </c>
      <c r="L13" s="16">
        <v>71.28</v>
      </c>
      <c r="M13" s="16">
        <v>171200.82579999999</v>
      </c>
      <c r="N13" s="3">
        <v>0.10160008817911099</v>
      </c>
      <c r="O13" s="13">
        <v>4.7174628823995597E-2</v>
      </c>
      <c r="P13" s="14">
        <v>3.0167611315846402E-2</v>
      </c>
      <c r="Q13" s="17">
        <v>1</v>
      </c>
    </row>
    <row r="14" spans="2:17" x14ac:dyDescent="0.3">
      <c r="B14" t="s">
        <v>140</v>
      </c>
      <c r="C14" s="14">
        <v>9.6539266407489804E-2</v>
      </c>
      <c r="D14" s="14">
        <v>8.3567686378955799E-2</v>
      </c>
      <c r="E14" s="13">
        <v>6.8069271743297605E-2</v>
      </c>
      <c r="F14" s="15">
        <v>17.41</v>
      </c>
      <c r="G14" s="15">
        <v>7.04</v>
      </c>
      <c r="H14" s="15">
        <v>1.29</v>
      </c>
      <c r="I14" s="15">
        <f t="shared" si="0"/>
        <v>15.48</v>
      </c>
      <c r="J14" s="16">
        <v>1111.43469238281</v>
      </c>
      <c r="K14" s="16">
        <v>153.74</v>
      </c>
      <c r="L14" s="16">
        <v>67.28</v>
      </c>
      <c r="M14" s="16">
        <v>148421.9564</v>
      </c>
      <c r="N14" s="3">
        <v>6.3668921589851393E-2</v>
      </c>
      <c r="O14" s="13">
        <v>3.0321892350912101E-2</v>
      </c>
      <c r="P14" s="14">
        <v>4.0926683694124201E-2</v>
      </c>
      <c r="Q14" s="17">
        <v>0.99</v>
      </c>
    </row>
    <row r="15" spans="2:17" x14ac:dyDescent="0.3">
      <c r="B15" t="s">
        <v>146</v>
      </c>
      <c r="C15" s="14">
        <v>9.3856431543827099E-2</v>
      </c>
      <c r="D15" s="14">
        <v>7.2174496948718997E-2</v>
      </c>
      <c r="E15" s="13">
        <v>7.6373994350433405E-2</v>
      </c>
      <c r="F15" s="15">
        <v>16.37</v>
      </c>
      <c r="G15" s="15">
        <v>5.95</v>
      </c>
      <c r="H15" s="15">
        <v>1.1299999999999999</v>
      </c>
      <c r="I15" s="15">
        <f t="shared" si="0"/>
        <v>13.559999999999999</v>
      </c>
      <c r="J15" s="16">
        <v>962.25537109375</v>
      </c>
      <c r="K15" s="16">
        <v>149.28</v>
      </c>
      <c r="L15" s="16">
        <v>110.59</v>
      </c>
      <c r="M15" s="16">
        <v>137549.04010000001</v>
      </c>
      <c r="N15" s="3">
        <v>3.7137158215045901E-2</v>
      </c>
      <c r="O15" s="13">
        <v>2.57358066737652E-2</v>
      </c>
      <c r="P15" s="14">
        <v>4.0977112948894501E-2</v>
      </c>
      <c r="Q15" s="17">
        <v>0.98</v>
      </c>
    </row>
    <row r="16" spans="2:17" x14ac:dyDescent="0.3">
      <c r="B16" t="s">
        <v>149</v>
      </c>
      <c r="C16" s="14">
        <v>9.1915123164653806E-2</v>
      </c>
      <c r="D16" s="14">
        <v>7.4738770723342896E-2</v>
      </c>
      <c r="E16" s="13">
        <v>6.2757998704910306E-2</v>
      </c>
      <c r="F16" s="15">
        <v>20.45</v>
      </c>
      <c r="G16" s="15">
        <v>6.89</v>
      </c>
      <c r="H16" s="15">
        <v>1</v>
      </c>
      <c r="I16" s="15">
        <f t="shared" si="0"/>
        <v>12</v>
      </c>
      <c r="J16" s="16">
        <v>1117.09729003906</v>
      </c>
      <c r="K16" s="16">
        <v>174.87</v>
      </c>
      <c r="L16" s="16">
        <v>99.94</v>
      </c>
      <c r="M16" s="16">
        <v>249830.93109999999</v>
      </c>
      <c r="N16" s="3">
        <v>1.24829970300198E-2</v>
      </c>
      <c r="O16" s="13">
        <v>1.41099328175187E-4</v>
      </c>
      <c r="P16" s="14">
        <v>3.3813878893852199E-2</v>
      </c>
      <c r="Q16" s="17">
        <v>0.98</v>
      </c>
    </row>
    <row r="17" spans="1:15" x14ac:dyDescent="0.3">
      <c r="A17" s="2"/>
      <c r="B17" s="106" t="s">
        <v>213</v>
      </c>
      <c r="O17" s="1"/>
    </row>
    <row r="18" spans="1:15" x14ac:dyDescent="0.3">
      <c r="O18" s="1"/>
    </row>
    <row r="19" spans="1:15" x14ac:dyDescent="0.3">
      <c r="C19" s="19" t="s">
        <v>75</v>
      </c>
      <c r="D19" s="19" t="s">
        <v>12</v>
      </c>
      <c r="E19" s="19" t="s">
        <v>78</v>
      </c>
      <c r="O19" s="1"/>
    </row>
    <row r="20" spans="1:15" x14ac:dyDescent="0.3">
      <c r="B20" t="s">
        <v>167</v>
      </c>
      <c r="C20" s="18">
        <v>0.05</v>
      </c>
      <c r="D20" s="18">
        <v>0.48046181172291297</v>
      </c>
      <c r="E20" s="18">
        <v>2.7739251040221915E-3</v>
      </c>
      <c r="O20" s="1"/>
    </row>
    <row r="21" spans="1:15" x14ac:dyDescent="0.3">
      <c r="B21" t="s">
        <v>168</v>
      </c>
      <c r="C21" s="18">
        <v>0.5694294940796556</v>
      </c>
      <c r="D21" s="18">
        <v>0.37459703417150225</v>
      </c>
      <c r="E21" s="18">
        <v>0.39111434814275309</v>
      </c>
    </row>
    <row r="22" spans="1:15" x14ac:dyDescent="0.3">
      <c r="C22" s="18">
        <f>C20*(1-C21)</f>
        <v>2.1528525296017221E-2</v>
      </c>
      <c r="D22" s="18">
        <f t="shared" ref="D22:E22" si="1">D20*(1-D21)</f>
        <v>0.30048224201884305</v>
      </c>
      <c r="E22" s="18">
        <f t="shared" si="1"/>
        <v>1.6890031951657337E-3</v>
      </c>
    </row>
    <row r="23" spans="1:15" x14ac:dyDescent="0.3">
      <c r="B23" s="106" t="s">
        <v>210</v>
      </c>
      <c r="C23" s="7"/>
    </row>
    <row r="25" spans="1:15" x14ac:dyDescent="0.3">
      <c r="B25" s="2" t="s">
        <v>209</v>
      </c>
    </row>
    <row r="26" spans="1:15" x14ac:dyDescent="0.3">
      <c r="B26" s="2"/>
      <c r="C26" s="19" t="s">
        <v>169</v>
      </c>
      <c r="D26" s="19" t="s">
        <v>170</v>
      </c>
      <c r="E26" s="19" t="s">
        <v>171</v>
      </c>
    </row>
    <row r="27" spans="1:15" x14ac:dyDescent="0.3">
      <c r="B27" t="s">
        <v>75</v>
      </c>
      <c r="C27" s="94">
        <v>229.70249999999999</v>
      </c>
      <c r="D27" s="94">
        <v>387.45</v>
      </c>
      <c r="E27" s="94">
        <v>308.57624999999996</v>
      </c>
    </row>
    <row r="28" spans="1:15" x14ac:dyDescent="0.3">
      <c r="B28" t="s">
        <v>12</v>
      </c>
      <c r="C28" s="94">
        <v>135.60749999999999</v>
      </c>
      <c r="D28" s="94">
        <v>224.16750000000002</v>
      </c>
      <c r="E28" s="94">
        <v>179.88749999999999</v>
      </c>
    </row>
    <row r="29" spans="1:15" x14ac:dyDescent="0.3">
      <c r="B29" t="s">
        <v>78</v>
      </c>
      <c r="C29" s="94">
        <v>221.4</v>
      </c>
      <c r="D29" s="94">
        <v>304.42500000000001</v>
      </c>
      <c r="E29" s="94">
        <v>262.91250000000002</v>
      </c>
    </row>
    <row r="30" spans="1:15" x14ac:dyDescent="0.3">
      <c r="B30" s="107" t="s">
        <v>212</v>
      </c>
    </row>
  </sheetData>
  <sortState xmlns:xlrd2="http://schemas.microsoft.com/office/spreadsheetml/2017/richdata2" ref="B3:C16">
    <sortCondition ref="B2:B16"/>
  </sortSt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F8ADF-AEE4-4E17-8BE5-97421EECE37D}">
  <dimension ref="B2:L65"/>
  <sheetViews>
    <sheetView workbookViewId="0">
      <pane ySplit="3" topLeftCell="A4" activePane="bottomLeft" state="frozen"/>
      <selection pane="bottomLeft" activeCell="H4" sqref="H4"/>
    </sheetView>
  </sheetViews>
  <sheetFormatPr defaultRowHeight="14.4" x14ac:dyDescent="0.3"/>
  <cols>
    <col min="1" max="1" width="4.44140625" customWidth="1"/>
    <col min="2" max="2" width="18.44140625" bestFit="1" customWidth="1"/>
    <col min="3" max="3" width="13.6640625" bestFit="1" customWidth="1"/>
    <col min="4" max="4" width="5.33203125" customWidth="1"/>
    <col min="5" max="5" width="11.33203125" bestFit="1" customWidth="1"/>
    <col min="6" max="6" width="5.5546875" customWidth="1"/>
    <col min="7" max="7" width="18.33203125" customWidth="1"/>
    <col min="10" max="10" width="26.33203125" bestFit="1" customWidth="1"/>
  </cols>
  <sheetData>
    <row r="2" spans="2:12" x14ac:dyDescent="0.3">
      <c r="G2" s="2" t="s">
        <v>72</v>
      </c>
      <c r="H2" s="2"/>
    </row>
    <row r="3" spans="2:12" x14ac:dyDescent="0.3">
      <c r="B3" s="2" t="s">
        <v>6</v>
      </c>
      <c r="C3" s="2" t="s">
        <v>71</v>
      </c>
      <c r="D3" s="2"/>
      <c r="E3" s="2" t="s">
        <v>172</v>
      </c>
      <c r="G3" s="2" t="s">
        <v>70</v>
      </c>
      <c r="H3" s="2" t="s">
        <v>211</v>
      </c>
      <c r="J3" s="2"/>
      <c r="K3" s="2"/>
    </row>
    <row r="4" spans="2:12" ht="15" x14ac:dyDescent="0.3">
      <c r="B4" s="84" t="s">
        <v>73</v>
      </c>
      <c r="C4" t="s">
        <v>74</v>
      </c>
      <c r="E4" t="s">
        <v>75</v>
      </c>
      <c r="G4" t="s">
        <v>75</v>
      </c>
      <c r="H4">
        <f>'Data &amp; Sources'!F1</f>
        <v>5</v>
      </c>
      <c r="K4" s="23"/>
    </row>
    <row r="5" spans="2:12" ht="15" x14ac:dyDescent="0.3">
      <c r="B5" s="84" t="s">
        <v>100</v>
      </c>
      <c r="C5" t="s">
        <v>101</v>
      </c>
      <c r="E5" t="s">
        <v>12</v>
      </c>
      <c r="G5" t="s">
        <v>12</v>
      </c>
      <c r="H5">
        <f>'Data &amp; Sources'!G1</f>
        <v>6</v>
      </c>
      <c r="K5" s="23"/>
      <c r="L5" s="24"/>
    </row>
    <row r="6" spans="2:12" ht="15" x14ac:dyDescent="0.3">
      <c r="B6" s="84" t="s">
        <v>120</v>
      </c>
      <c r="C6" t="s">
        <v>121</v>
      </c>
      <c r="E6" t="s">
        <v>78</v>
      </c>
      <c r="G6" t="s">
        <v>78</v>
      </c>
      <c r="H6">
        <f>'Data &amp; Sources'!I1</f>
        <v>8</v>
      </c>
      <c r="K6" s="23"/>
    </row>
    <row r="7" spans="2:12" ht="15" x14ac:dyDescent="0.3">
      <c r="B7" s="84" t="s">
        <v>86</v>
      </c>
      <c r="C7" t="s">
        <v>87</v>
      </c>
      <c r="K7" s="23"/>
    </row>
    <row r="8" spans="2:12" ht="15" x14ac:dyDescent="0.3">
      <c r="B8" s="84" t="s">
        <v>98</v>
      </c>
      <c r="C8" t="s">
        <v>95</v>
      </c>
      <c r="G8" s="2" t="s">
        <v>81</v>
      </c>
      <c r="K8" s="23"/>
    </row>
    <row r="9" spans="2:12" ht="15" x14ac:dyDescent="0.3">
      <c r="B9" s="84" t="s">
        <v>139</v>
      </c>
      <c r="C9" t="s">
        <v>140</v>
      </c>
      <c r="G9" t="s">
        <v>75</v>
      </c>
      <c r="H9">
        <f>'Data &amp; Sources'!N1</f>
        <v>13</v>
      </c>
      <c r="K9" s="23"/>
    </row>
    <row r="10" spans="2:12" ht="15" x14ac:dyDescent="0.3">
      <c r="B10" s="84" t="s">
        <v>99</v>
      </c>
      <c r="C10" t="s">
        <v>95</v>
      </c>
      <c r="G10" t="s">
        <v>12</v>
      </c>
      <c r="H10">
        <f>'Data &amp; Sources'!O1</f>
        <v>14</v>
      </c>
      <c r="K10" s="23"/>
    </row>
    <row r="11" spans="2:12" ht="15" x14ac:dyDescent="0.3">
      <c r="B11" s="84" t="s">
        <v>102</v>
      </c>
      <c r="C11" t="s">
        <v>101</v>
      </c>
      <c r="G11" t="s">
        <v>78</v>
      </c>
      <c r="H11">
        <f>'Data &amp; Sources'!P1</f>
        <v>15</v>
      </c>
      <c r="K11" s="23"/>
    </row>
    <row r="12" spans="2:12" ht="15" x14ac:dyDescent="0.3">
      <c r="B12" s="84" t="s">
        <v>89</v>
      </c>
      <c r="C12" t="s">
        <v>87</v>
      </c>
      <c r="K12" s="23"/>
    </row>
    <row r="13" spans="2:12" ht="15" x14ac:dyDescent="0.3">
      <c r="B13" s="84" t="s">
        <v>105</v>
      </c>
      <c r="C13" t="s">
        <v>106</v>
      </c>
      <c r="G13" s="2" t="s">
        <v>88</v>
      </c>
      <c r="K13" s="23"/>
    </row>
    <row r="14" spans="2:12" ht="15" x14ac:dyDescent="0.3">
      <c r="B14" s="84" t="s">
        <v>76</v>
      </c>
      <c r="C14" t="s">
        <v>74</v>
      </c>
      <c r="G14" t="s">
        <v>75</v>
      </c>
      <c r="H14">
        <f>'Data &amp; Sources'!C1</f>
        <v>2</v>
      </c>
      <c r="K14" s="23"/>
    </row>
    <row r="15" spans="2:12" ht="15" x14ac:dyDescent="0.3">
      <c r="B15" s="84" t="s">
        <v>90</v>
      </c>
      <c r="C15" t="s">
        <v>87</v>
      </c>
      <c r="G15" t="s">
        <v>12</v>
      </c>
      <c r="H15">
        <f>'Data &amp; Sources'!D1</f>
        <v>3</v>
      </c>
      <c r="K15" s="23"/>
    </row>
    <row r="16" spans="2:12" ht="15" x14ac:dyDescent="0.3">
      <c r="B16" s="84" t="s">
        <v>91</v>
      </c>
      <c r="C16" t="s">
        <v>87</v>
      </c>
      <c r="G16" t="s">
        <v>78</v>
      </c>
      <c r="H16">
        <f>'Data &amp; Sources'!E1</f>
        <v>4</v>
      </c>
      <c r="K16" s="23"/>
    </row>
    <row r="17" spans="2:11" ht="15" x14ac:dyDescent="0.3">
      <c r="B17" s="84" t="s">
        <v>128</v>
      </c>
      <c r="C17" t="s">
        <v>129</v>
      </c>
      <c r="K17" s="23"/>
    </row>
    <row r="18" spans="2:11" ht="15" x14ac:dyDescent="0.3">
      <c r="B18" s="84" t="s">
        <v>94</v>
      </c>
      <c r="C18" t="s">
        <v>95</v>
      </c>
      <c r="K18" s="23"/>
    </row>
    <row r="19" spans="2:11" ht="15" x14ac:dyDescent="0.3">
      <c r="B19" s="84" t="s">
        <v>107</v>
      </c>
      <c r="C19" t="s">
        <v>106</v>
      </c>
      <c r="K19" s="23"/>
    </row>
    <row r="20" spans="2:11" ht="15" x14ac:dyDescent="0.3">
      <c r="B20" s="84" t="s">
        <v>108</v>
      </c>
      <c r="C20" t="s">
        <v>106</v>
      </c>
      <c r="K20" s="23"/>
    </row>
    <row r="21" spans="2:11" ht="15" x14ac:dyDescent="0.3">
      <c r="B21" s="84" t="s">
        <v>77</v>
      </c>
      <c r="C21" t="s">
        <v>74</v>
      </c>
      <c r="K21" s="23"/>
    </row>
    <row r="22" spans="2:11" ht="15" x14ac:dyDescent="0.3">
      <c r="B22" s="84" t="s">
        <v>131</v>
      </c>
      <c r="C22" t="s">
        <v>132</v>
      </c>
      <c r="K22" s="23"/>
    </row>
    <row r="23" spans="2:11" ht="15" x14ac:dyDescent="0.3">
      <c r="B23" s="84" t="s">
        <v>79</v>
      </c>
      <c r="C23" t="s">
        <v>74</v>
      </c>
    </row>
    <row r="24" spans="2:11" ht="15" x14ac:dyDescent="0.3">
      <c r="B24" s="84" t="s">
        <v>109</v>
      </c>
      <c r="C24" t="s">
        <v>106</v>
      </c>
    </row>
    <row r="25" spans="2:11" ht="15" x14ac:dyDescent="0.3">
      <c r="B25" s="84" t="s">
        <v>145</v>
      </c>
      <c r="C25" t="s">
        <v>146</v>
      </c>
    </row>
    <row r="26" spans="2:11" ht="15" x14ac:dyDescent="0.3">
      <c r="B26" s="84" t="s">
        <v>148</v>
      </c>
      <c r="C26" t="s">
        <v>149</v>
      </c>
    </row>
    <row r="27" spans="2:11" ht="15" x14ac:dyDescent="0.3">
      <c r="B27" s="84" t="s">
        <v>122</v>
      </c>
      <c r="C27" t="s">
        <v>121</v>
      </c>
    </row>
    <row r="28" spans="2:11" ht="15" x14ac:dyDescent="0.3">
      <c r="B28" s="84" t="s">
        <v>150</v>
      </c>
      <c r="C28" t="s">
        <v>149</v>
      </c>
    </row>
    <row r="29" spans="2:11" ht="15" x14ac:dyDescent="0.3">
      <c r="B29" s="84" t="s">
        <v>133</v>
      </c>
      <c r="C29" t="s">
        <v>132</v>
      </c>
    </row>
    <row r="30" spans="2:11" ht="15" x14ac:dyDescent="0.3">
      <c r="B30" s="84" t="s">
        <v>141</v>
      </c>
      <c r="C30" t="s">
        <v>140</v>
      </c>
    </row>
    <row r="31" spans="2:11" ht="15" x14ac:dyDescent="0.3">
      <c r="B31" s="84" t="s">
        <v>134</v>
      </c>
      <c r="C31" t="s">
        <v>132</v>
      </c>
    </row>
    <row r="32" spans="2:11" ht="15" x14ac:dyDescent="0.3">
      <c r="B32" s="84" t="s">
        <v>80</v>
      </c>
      <c r="C32" t="s">
        <v>74</v>
      </c>
    </row>
    <row r="33" spans="2:3" ht="15" x14ac:dyDescent="0.3">
      <c r="B33" s="84" t="s">
        <v>117</v>
      </c>
      <c r="C33" t="s">
        <v>118</v>
      </c>
    </row>
    <row r="34" spans="2:3" ht="15" x14ac:dyDescent="0.3">
      <c r="B34" s="84" t="s">
        <v>7</v>
      </c>
      <c r="C34" t="s">
        <v>121</v>
      </c>
    </row>
    <row r="35" spans="2:3" ht="15" x14ac:dyDescent="0.3">
      <c r="B35" s="84" t="s">
        <v>96</v>
      </c>
      <c r="C35" t="s">
        <v>95</v>
      </c>
    </row>
    <row r="36" spans="2:3" ht="15" x14ac:dyDescent="0.3">
      <c r="B36" s="84" t="s">
        <v>147</v>
      </c>
      <c r="C36" t="s">
        <v>146</v>
      </c>
    </row>
    <row r="37" spans="2:3" ht="15" x14ac:dyDescent="0.3">
      <c r="B37" s="84" t="s">
        <v>142</v>
      </c>
      <c r="C37" t="s">
        <v>140</v>
      </c>
    </row>
    <row r="38" spans="2:3" ht="15" x14ac:dyDescent="0.3">
      <c r="B38" s="84" t="s">
        <v>135</v>
      </c>
      <c r="C38" t="s">
        <v>132</v>
      </c>
    </row>
    <row r="39" spans="2:3" ht="15" x14ac:dyDescent="0.3">
      <c r="B39" s="84" t="s">
        <v>125</v>
      </c>
      <c r="C39" t="s">
        <v>121</v>
      </c>
    </row>
    <row r="40" spans="2:3" ht="15" x14ac:dyDescent="0.3">
      <c r="B40" s="84" t="s">
        <v>136</v>
      </c>
      <c r="C40" t="s">
        <v>132</v>
      </c>
    </row>
    <row r="41" spans="2:3" ht="15" x14ac:dyDescent="0.3">
      <c r="B41" s="84" t="s">
        <v>143</v>
      </c>
      <c r="C41" t="s">
        <v>140</v>
      </c>
    </row>
    <row r="42" spans="2:3" ht="15" x14ac:dyDescent="0.3">
      <c r="B42" s="84" t="s">
        <v>92</v>
      </c>
      <c r="C42" t="s">
        <v>87</v>
      </c>
    </row>
    <row r="43" spans="2:3" ht="15" x14ac:dyDescent="0.3">
      <c r="B43" s="84" t="s">
        <v>130</v>
      </c>
      <c r="C43" t="s">
        <v>129</v>
      </c>
    </row>
    <row r="44" spans="2:3" ht="15" x14ac:dyDescent="0.3">
      <c r="B44" s="84" t="s">
        <v>123</v>
      </c>
      <c r="C44" t="s">
        <v>121</v>
      </c>
    </row>
    <row r="45" spans="2:3" ht="15" x14ac:dyDescent="0.3">
      <c r="B45" s="84" t="s">
        <v>82</v>
      </c>
      <c r="C45" t="s">
        <v>74</v>
      </c>
    </row>
    <row r="46" spans="2:3" ht="15" x14ac:dyDescent="0.3">
      <c r="B46" s="84" t="s">
        <v>124</v>
      </c>
      <c r="C46" t="s">
        <v>121</v>
      </c>
    </row>
    <row r="47" spans="2:3" ht="15" x14ac:dyDescent="0.3">
      <c r="B47" s="84" t="s">
        <v>126</v>
      </c>
      <c r="C47" t="s">
        <v>121</v>
      </c>
    </row>
    <row r="48" spans="2:3" ht="15" x14ac:dyDescent="0.3">
      <c r="B48" s="84" t="s">
        <v>83</v>
      </c>
      <c r="C48" t="s">
        <v>74</v>
      </c>
    </row>
    <row r="49" spans="2:3" ht="15" x14ac:dyDescent="0.3">
      <c r="B49" s="84" t="s">
        <v>84</v>
      </c>
      <c r="C49" t="s">
        <v>74</v>
      </c>
    </row>
    <row r="50" spans="2:3" ht="15" x14ac:dyDescent="0.3">
      <c r="B50" s="84" t="s">
        <v>85</v>
      </c>
      <c r="C50" t="s">
        <v>74</v>
      </c>
    </row>
    <row r="51" spans="2:3" ht="15" x14ac:dyDescent="0.3">
      <c r="B51" s="84" t="s">
        <v>103</v>
      </c>
      <c r="C51" t="s">
        <v>101</v>
      </c>
    </row>
    <row r="52" spans="2:3" ht="15" x14ac:dyDescent="0.3">
      <c r="B52" s="84" t="s">
        <v>144</v>
      </c>
      <c r="C52" t="s">
        <v>140</v>
      </c>
    </row>
    <row r="53" spans="2:3" ht="15" x14ac:dyDescent="0.3">
      <c r="B53" s="84" t="s">
        <v>151</v>
      </c>
      <c r="C53" t="s">
        <v>149</v>
      </c>
    </row>
    <row r="54" spans="2:3" ht="15" x14ac:dyDescent="0.3">
      <c r="B54" s="84" t="s">
        <v>104</v>
      </c>
      <c r="C54" t="s">
        <v>101</v>
      </c>
    </row>
    <row r="55" spans="2:3" ht="15" x14ac:dyDescent="0.3">
      <c r="B55" s="84" t="s">
        <v>119</v>
      </c>
      <c r="C55" t="s">
        <v>118</v>
      </c>
    </row>
    <row r="56" spans="2:3" ht="15" x14ac:dyDescent="0.3">
      <c r="B56" s="84" t="s">
        <v>114</v>
      </c>
      <c r="C56" t="s">
        <v>115</v>
      </c>
    </row>
    <row r="57" spans="2:3" ht="15" x14ac:dyDescent="0.3">
      <c r="B57" s="84" t="s">
        <v>93</v>
      </c>
      <c r="C57" t="s">
        <v>87</v>
      </c>
    </row>
    <row r="58" spans="2:3" ht="15" x14ac:dyDescent="0.3">
      <c r="B58" s="84" t="s">
        <v>112</v>
      </c>
      <c r="C58" t="s">
        <v>113</v>
      </c>
    </row>
    <row r="59" spans="2:3" ht="15" x14ac:dyDescent="0.3">
      <c r="B59" s="84" t="s">
        <v>116</v>
      </c>
      <c r="C59" t="s">
        <v>115</v>
      </c>
    </row>
    <row r="60" spans="2:3" ht="15" x14ac:dyDescent="0.3">
      <c r="B60" s="84" t="s">
        <v>110</v>
      </c>
      <c r="C60" t="s">
        <v>106</v>
      </c>
    </row>
    <row r="61" spans="2:3" ht="15" x14ac:dyDescent="0.3">
      <c r="B61" s="84" t="s">
        <v>111</v>
      </c>
      <c r="C61" t="s">
        <v>106</v>
      </c>
    </row>
    <row r="62" spans="2:3" ht="15" x14ac:dyDescent="0.3">
      <c r="B62" s="84" t="s">
        <v>137</v>
      </c>
      <c r="C62" t="s">
        <v>132</v>
      </c>
    </row>
    <row r="63" spans="2:3" ht="15" x14ac:dyDescent="0.3">
      <c r="B63" s="84" t="s">
        <v>127</v>
      </c>
      <c r="C63" t="s">
        <v>121</v>
      </c>
    </row>
    <row r="64" spans="2:3" ht="15" x14ac:dyDescent="0.3">
      <c r="B64" s="84" t="s">
        <v>97</v>
      </c>
      <c r="C64" t="s">
        <v>95</v>
      </c>
    </row>
    <row r="65" spans="2:3" ht="15" x14ac:dyDescent="0.3">
      <c r="B65" s="84" t="s">
        <v>138</v>
      </c>
      <c r="C65" t="s">
        <v>132</v>
      </c>
    </row>
  </sheetData>
  <sortState xmlns:xlrd2="http://schemas.microsoft.com/office/spreadsheetml/2017/richdata2" ref="B4:C65">
    <sortCondition ref="B4:B6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035454AC257D4C88918A01839F5002" ma:contentTypeVersion="6" ma:contentTypeDescription="Create a new document." ma:contentTypeScope="" ma:versionID="735b107eb1acd414d7306a77bddb8212">
  <xsd:schema xmlns:xsd="http://www.w3.org/2001/XMLSchema" xmlns:xs="http://www.w3.org/2001/XMLSchema" xmlns:p="http://schemas.microsoft.com/office/2006/metadata/properties" xmlns:ns2="78f2ca3b-441f-4d47-9873-feb835d27962" targetNamespace="http://schemas.microsoft.com/office/2006/metadata/properties" ma:root="true" ma:fieldsID="7f958cd3bc1952f28bbf01c9fae4562c" ns2:_="">
    <xsd:import namespace="78f2ca3b-441f-4d47-9873-feb835d279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2ca3b-441f-4d47-9873-feb835d279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2F2630-B6D5-40BD-A3C3-2168B6FEBB87}">
  <ds:schemaRefs>
    <ds:schemaRef ds:uri="http://schemas.microsoft.com/sharepoint/v3/contenttype/forms"/>
  </ds:schemaRefs>
</ds:datastoreItem>
</file>

<file path=customXml/itemProps2.xml><?xml version="1.0" encoding="utf-8"?>
<ds:datastoreItem xmlns:ds="http://schemas.openxmlformats.org/officeDocument/2006/customXml" ds:itemID="{7BEE3201-3EE2-42E1-AD36-F37D69180265}"/>
</file>

<file path=customXml/itemProps3.xml><?xml version="1.0" encoding="utf-8"?>
<ds:datastoreItem xmlns:ds="http://schemas.openxmlformats.org/officeDocument/2006/customXml" ds:itemID="{EA75DFEA-49B5-474F-8969-25B2EC652DA0}">
  <ds:schemaRefs>
    <ds:schemaRef ds:uri="http://schemas.microsoft.com/office/2006/metadata/properties"/>
    <ds:schemaRef ds:uri="http://schemas.microsoft.com/office/infopath/2007/PartnerControls"/>
    <ds:schemaRef ds:uri="31b63c5c-4336-4511-9e83-05162c44daf1"/>
    <ds:schemaRef ds:uri="f03c98e1-7eec-4e19-a62e-f845d0be24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Calculations</vt:lpstr>
      <vt:lpstr>Data &amp; Sources</vt:lpstr>
      <vt:lpstr>Lookups</vt:lpstr>
      <vt:lpstr>Introduction!_ftn1</vt:lpstr>
      <vt:lpstr>Introduction!_ftnref1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dc:creator>
  <cp:keywords/>
  <dc:description/>
  <cp:lastModifiedBy>Alex Tranmer</cp:lastModifiedBy>
  <cp:revision/>
  <dcterms:created xsi:type="dcterms:W3CDTF">2022-08-15T15:16:45Z</dcterms:created>
  <dcterms:modified xsi:type="dcterms:W3CDTF">2024-02-16T17:37:42Z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0x0101007D035454AC257D4C88918A01839F5002</vt:lpwstr>
  </property>
  <property fmtid="{D5CDD505-2E9C-101B-9397-08002B2CF9AE}" pid="3" name="MediaServiceImageTags">
    <vt:lpwstr/>
  </property>
</Properties>
</file>